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300" windowWidth="20115" windowHeight="7560" firstSheet="1" activeTab="1"/>
  </bookViews>
  <sheets>
    <sheet name="PSP" sheetId="5" state="hidden" r:id="rId1"/>
    <sheet name="CRONOGRAMA" sheetId="4" r:id="rId2"/>
    <sheet name="Plan2" sheetId="2" state="hidden" r:id="rId3"/>
    <sheet name="Plan3" sheetId="3"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CRONOGRAMA!$A$9:$L$44</definedName>
    <definedName name="_xlnm.Print_Area" localSheetId="1">CRONOGRAMA!$A$1:$L$44</definedName>
    <definedName name="_xlnm.Print_Area" localSheetId="0">PSP!$A$1:$J$780</definedName>
    <definedName name="_xlnm.Print_Titles" localSheetId="1">CRONOGRAMA!$3:$10</definedName>
    <definedName name="_xlnm.Print_Titles" localSheetId="0">PSP!$1:$11</definedName>
  </definedNames>
  <calcPr calcId="124519"/>
</workbook>
</file>

<file path=xl/calcChain.xml><?xml version="1.0" encoding="utf-8"?>
<calcChain xmlns="http://schemas.openxmlformats.org/spreadsheetml/2006/main">
  <c r="D776" i="5"/>
  <c r="D775"/>
  <c r="D774"/>
  <c r="D773"/>
  <c r="D772"/>
  <c r="D771"/>
  <c r="D770"/>
  <c r="D769"/>
  <c r="D768"/>
  <c r="J764"/>
  <c r="K763"/>
  <c r="I763"/>
  <c r="H763"/>
  <c r="G763"/>
  <c r="F763"/>
  <c r="E763"/>
  <c r="D763"/>
  <c r="C763"/>
  <c r="B763"/>
  <c r="K762"/>
  <c r="I762"/>
  <c r="H762"/>
  <c r="G762"/>
  <c r="F762"/>
  <c r="E762"/>
  <c r="D762"/>
  <c r="C762"/>
  <c r="B762"/>
  <c r="K761"/>
  <c r="I761"/>
  <c r="H761"/>
  <c r="G761"/>
  <c r="F761"/>
  <c r="E761"/>
  <c r="D761"/>
  <c r="C761"/>
  <c r="B761"/>
  <c r="K760"/>
  <c r="I760"/>
  <c r="H760"/>
  <c r="G760"/>
  <c r="F760"/>
  <c r="E760"/>
  <c r="D760"/>
  <c r="C760"/>
  <c r="B760"/>
  <c r="K759"/>
  <c r="I759"/>
  <c r="H759"/>
  <c r="G759"/>
  <c r="F759"/>
  <c r="E759"/>
  <c r="D759"/>
  <c r="C759"/>
  <c r="B759"/>
  <c r="K758"/>
  <c r="I758"/>
  <c r="H758"/>
  <c r="G758"/>
  <c r="F758"/>
  <c r="E758"/>
  <c r="D758"/>
  <c r="C758"/>
  <c r="B758"/>
  <c r="K757"/>
  <c r="I757"/>
  <c r="H757"/>
  <c r="G757"/>
  <c r="F757"/>
  <c r="E757"/>
  <c r="D757"/>
  <c r="C757"/>
  <c r="B757"/>
  <c r="K756"/>
  <c r="I756"/>
  <c r="H756"/>
  <c r="G756"/>
  <c r="F756"/>
  <c r="E756"/>
  <c r="D756"/>
  <c r="C756"/>
  <c r="B756"/>
  <c r="K755"/>
  <c r="I755"/>
  <c r="H755"/>
  <c r="G755"/>
  <c r="F755"/>
  <c r="E755"/>
  <c r="D755"/>
  <c r="C755"/>
  <c r="B755"/>
  <c r="K754"/>
  <c r="I754"/>
  <c r="H754"/>
  <c r="G754"/>
  <c r="F754"/>
  <c r="E754"/>
  <c r="D754"/>
  <c r="C754"/>
  <c r="B754"/>
  <c r="K753"/>
  <c r="I753"/>
  <c r="H753"/>
  <c r="G753"/>
  <c r="F753"/>
  <c r="E753"/>
  <c r="D753"/>
  <c r="C753"/>
  <c r="B753"/>
  <c r="K752"/>
  <c r="I752"/>
  <c r="H752"/>
  <c r="G752"/>
  <c r="F752"/>
  <c r="E752"/>
  <c r="D752"/>
  <c r="C752"/>
  <c r="B752"/>
  <c r="K751"/>
  <c r="I751"/>
  <c r="H751"/>
  <c r="G751"/>
  <c r="F751"/>
  <c r="E751"/>
  <c r="D751"/>
  <c r="C751"/>
  <c r="B751"/>
  <c r="K750"/>
  <c r="I750"/>
  <c r="H750"/>
  <c r="G750"/>
  <c r="F750"/>
  <c r="E750"/>
  <c r="D750"/>
  <c r="C750"/>
  <c r="B750"/>
  <c r="K749"/>
  <c r="I749"/>
  <c r="H749"/>
  <c r="G749"/>
  <c r="F749"/>
  <c r="E749"/>
  <c r="D749"/>
  <c r="C749"/>
  <c r="B749"/>
  <c r="J748"/>
  <c r="J746"/>
  <c r="K744"/>
  <c r="I744"/>
  <c r="H744"/>
  <c r="G744"/>
  <c r="F744"/>
  <c r="E744"/>
  <c r="D744"/>
  <c r="C744"/>
  <c r="B744"/>
  <c r="K743"/>
  <c r="I743"/>
  <c r="H743"/>
  <c r="G743"/>
  <c r="F743"/>
  <c r="E743"/>
  <c r="D743"/>
  <c r="C743"/>
  <c r="B743"/>
  <c r="K742"/>
  <c r="I742"/>
  <c r="H742"/>
  <c r="G742"/>
  <c r="F742"/>
  <c r="E742"/>
  <c r="D742"/>
  <c r="C742"/>
  <c r="B742"/>
  <c r="K741"/>
  <c r="I741"/>
  <c r="H741"/>
  <c r="G741"/>
  <c r="F741"/>
  <c r="E741"/>
  <c r="D741"/>
  <c r="C741"/>
  <c r="B741"/>
  <c r="K740"/>
  <c r="I740"/>
  <c r="H740"/>
  <c r="G740"/>
  <c r="F740"/>
  <c r="E740"/>
  <c r="D740"/>
  <c r="C740"/>
  <c r="B740"/>
  <c r="K735"/>
  <c r="I735"/>
  <c r="H735"/>
  <c r="G735"/>
  <c r="F735"/>
  <c r="E735"/>
  <c r="D735"/>
  <c r="C735"/>
  <c r="B735"/>
  <c r="K734"/>
  <c r="I734"/>
  <c r="H734"/>
  <c r="G734"/>
  <c r="F734"/>
  <c r="E734"/>
  <c r="D734"/>
  <c r="C734"/>
  <c r="B734"/>
  <c r="K733"/>
  <c r="I733"/>
  <c r="H733"/>
  <c r="G733"/>
  <c r="F733"/>
  <c r="E733"/>
  <c r="D733"/>
  <c r="C733"/>
  <c r="B733"/>
  <c r="K732"/>
  <c r="I732"/>
  <c r="H732"/>
  <c r="G732"/>
  <c r="F732"/>
  <c r="E732"/>
  <c r="D732"/>
  <c r="C732"/>
  <c r="B732"/>
  <c r="K731"/>
  <c r="I731"/>
  <c r="H731"/>
  <c r="G731"/>
  <c r="F731"/>
  <c r="E731"/>
  <c r="D731"/>
  <c r="C731"/>
  <c r="B731"/>
  <c r="K730"/>
  <c r="I730"/>
  <c r="H730"/>
  <c r="G730"/>
  <c r="F730"/>
  <c r="E730"/>
  <c r="D730"/>
  <c r="C730"/>
  <c r="B730"/>
  <c r="K729"/>
  <c r="I729"/>
  <c r="H729"/>
  <c r="G729"/>
  <c r="F729"/>
  <c r="E729"/>
  <c r="D729"/>
  <c r="C729"/>
  <c r="B729"/>
  <c r="K728"/>
  <c r="I728"/>
  <c r="H728"/>
  <c r="G728"/>
  <c r="F728"/>
  <c r="E728"/>
  <c r="D728"/>
  <c r="C728"/>
  <c r="B728"/>
  <c r="K727"/>
  <c r="I727"/>
  <c r="H727"/>
  <c r="G727"/>
  <c r="F727"/>
  <c r="E727"/>
  <c r="D727"/>
  <c r="C727"/>
  <c r="B727"/>
  <c r="K726"/>
  <c r="I726"/>
  <c r="H726"/>
  <c r="G726"/>
  <c r="F726"/>
  <c r="E726"/>
  <c r="D726"/>
  <c r="C726"/>
  <c r="B726"/>
  <c r="K725"/>
  <c r="I725"/>
  <c r="H725"/>
  <c r="G725"/>
  <c r="F725"/>
  <c r="E725"/>
  <c r="D725"/>
  <c r="C725"/>
  <c r="B725"/>
  <c r="K724"/>
  <c r="I724"/>
  <c r="H724"/>
  <c r="G724"/>
  <c r="F724"/>
  <c r="E724"/>
  <c r="D724"/>
  <c r="C724"/>
  <c r="B724"/>
  <c r="K723"/>
  <c r="I723"/>
  <c r="H723"/>
  <c r="G723"/>
  <c r="F723"/>
  <c r="E723"/>
  <c r="D723"/>
  <c r="C723"/>
  <c r="B723"/>
  <c r="K722"/>
  <c r="I722"/>
  <c r="H722"/>
  <c r="G722"/>
  <c r="F722"/>
  <c r="E722"/>
  <c r="D722"/>
  <c r="C722"/>
  <c r="B722"/>
  <c r="K721"/>
  <c r="I721"/>
  <c r="H721"/>
  <c r="G721"/>
  <c r="F721"/>
  <c r="E721"/>
  <c r="D721"/>
  <c r="C721"/>
  <c r="B721"/>
  <c r="K720"/>
  <c r="I720"/>
  <c r="H720"/>
  <c r="G720"/>
  <c r="F720"/>
  <c r="E720"/>
  <c r="D720"/>
  <c r="C720"/>
  <c r="B720"/>
  <c r="K719"/>
  <c r="I719"/>
  <c r="H719"/>
  <c r="G719"/>
  <c r="F719"/>
  <c r="E719"/>
  <c r="D719"/>
  <c r="C719"/>
  <c r="B719"/>
  <c r="K718"/>
  <c r="I718"/>
  <c r="H718"/>
  <c r="G718"/>
  <c r="F718"/>
  <c r="E718"/>
  <c r="D718"/>
  <c r="C718"/>
  <c r="B718"/>
  <c r="K717"/>
  <c r="I717"/>
  <c r="H717"/>
  <c r="G717"/>
  <c r="F717"/>
  <c r="E717"/>
  <c r="D717"/>
  <c r="C717"/>
  <c r="B717"/>
  <c r="K716"/>
  <c r="I716"/>
  <c r="H716"/>
  <c r="G716"/>
  <c r="F716"/>
  <c r="E716"/>
  <c r="D716"/>
  <c r="C716"/>
  <c r="B716"/>
  <c r="K715"/>
  <c r="I715"/>
  <c r="H715"/>
  <c r="G715"/>
  <c r="F715"/>
  <c r="E715"/>
  <c r="D715"/>
  <c r="C715"/>
  <c r="B715"/>
  <c r="H714"/>
  <c r="G714"/>
  <c r="E714"/>
  <c r="D714"/>
  <c r="K710"/>
  <c r="I710"/>
  <c r="H710"/>
  <c r="G710"/>
  <c r="F710"/>
  <c r="E710"/>
  <c r="D710"/>
  <c r="C710"/>
  <c r="B710"/>
  <c r="K709"/>
  <c r="I709"/>
  <c r="H709"/>
  <c r="G709"/>
  <c r="F709"/>
  <c r="E709"/>
  <c r="D709"/>
  <c r="C709"/>
  <c r="B709"/>
  <c r="K708"/>
  <c r="I708"/>
  <c r="H708"/>
  <c r="G708"/>
  <c r="F708"/>
  <c r="E708"/>
  <c r="D708"/>
  <c r="C708"/>
  <c r="B708"/>
  <c r="K707"/>
  <c r="I707"/>
  <c r="H707"/>
  <c r="G707"/>
  <c r="F707"/>
  <c r="E707"/>
  <c r="D707"/>
  <c r="C707"/>
  <c r="B707"/>
  <c r="K706"/>
  <c r="I706"/>
  <c r="H706"/>
  <c r="G706"/>
  <c r="F706"/>
  <c r="E706"/>
  <c r="D706"/>
  <c r="C706"/>
  <c r="B706"/>
  <c r="D705"/>
  <c r="K703"/>
  <c r="I703"/>
  <c r="H703"/>
  <c r="G703"/>
  <c r="F703"/>
  <c r="E703"/>
  <c r="D703"/>
  <c r="C703"/>
  <c r="B703"/>
  <c r="K702"/>
  <c r="I702"/>
  <c r="H702"/>
  <c r="G702"/>
  <c r="F702"/>
  <c r="E702"/>
  <c r="D702"/>
  <c r="C702"/>
  <c r="B702"/>
  <c r="K701"/>
  <c r="I701"/>
  <c r="H701"/>
  <c r="G701"/>
  <c r="F701"/>
  <c r="E701"/>
  <c r="D701"/>
  <c r="C701"/>
  <c r="B701"/>
  <c r="K700"/>
  <c r="I700"/>
  <c r="H700"/>
  <c r="G700"/>
  <c r="F700"/>
  <c r="E700"/>
  <c r="D700"/>
  <c r="C700"/>
  <c r="B700"/>
  <c r="K699"/>
  <c r="I699"/>
  <c r="H699"/>
  <c r="G699"/>
  <c r="F699"/>
  <c r="E699"/>
  <c r="D699"/>
  <c r="C699"/>
  <c r="B699"/>
  <c r="K698"/>
  <c r="I698"/>
  <c r="H698"/>
  <c r="G698"/>
  <c r="F698"/>
  <c r="E698"/>
  <c r="D698"/>
  <c r="C698"/>
  <c r="B698"/>
  <c r="K697"/>
  <c r="I697"/>
  <c r="H697"/>
  <c r="G697"/>
  <c r="F697"/>
  <c r="E697"/>
  <c r="D697"/>
  <c r="C697"/>
  <c r="B697"/>
  <c r="K696"/>
  <c r="I696"/>
  <c r="H696"/>
  <c r="G696"/>
  <c r="F696"/>
  <c r="E696"/>
  <c r="D696"/>
  <c r="C696"/>
  <c r="B696"/>
  <c r="K695"/>
  <c r="I695"/>
  <c r="H695"/>
  <c r="G695"/>
  <c r="F695"/>
  <c r="E695"/>
  <c r="D695"/>
  <c r="C695"/>
  <c r="B695"/>
  <c r="K694"/>
  <c r="I694"/>
  <c r="H694"/>
  <c r="G694"/>
  <c r="F694"/>
  <c r="E694"/>
  <c r="D694"/>
  <c r="C694"/>
  <c r="B694"/>
  <c r="K693"/>
  <c r="I693"/>
  <c r="H693"/>
  <c r="G693"/>
  <c r="F693"/>
  <c r="E693"/>
  <c r="D693"/>
  <c r="C693"/>
  <c r="B693"/>
  <c r="K692"/>
  <c r="I692"/>
  <c r="H692"/>
  <c r="G692"/>
  <c r="F692"/>
  <c r="E692"/>
  <c r="D692"/>
  <c r="C692"/>
  <c r="B692"/>
  <c r="K691"/>
  <c r="I691"/>
  <c r="H691"/>
  <c r="G691"/>
  <c r="F691"/>
  <c r="E691"/>
  <c r="D691"/>
  <c r="C691"/>
  <c r="B691"/>
  <c r="K690"/>
  <c r="I690"/>
  <c r="H690"/>
  <c r="G690"/>
  <c r="F690"/>
  <c r="E690"/>
  <c r="D690"/>
  <c r="C690"/>
  <c r="B690"/>
  <c r="K689"/>
  <c r="I689"/>
  <c r="H689"/>
  <c r="G689"/>
  <c r="F689"/>
  <c r="E689"/>
  <c r="D689"/>
  <c r="C689"/>
  <c r="B689"/>
  <c r="K688"/>
  <c r="I688"/>
  <c r="H688"/>
  <c r="G688"/>
  <c r="F688"/>
  <c r="E688"/>
  <c r="D688"/>
  <c r="C688"/>
  <c r="B688"/>
  <c r="K687"/>
  <c r="I687"/>
  <c r="H687"/>
  <c r="G687"/>
  <c r="F687"/>
  <c r="E687"/>
  <c r="D687"/>
  <c r="C687"/>
  <c r="B687"/>
  <c r="K686"/>
  <c r="I686"/>
  <c r="H686"/>
  <c r="G686"/>
  <c r="F686"/>
  <c r="E686"/>
  <c r="D686"/>
  <c r="C686"/>
  <c r="B686"/>
  <c r="K685"/>
  <c r="I685"/>
  <c r="H685"/>
  <c r="G685"/>
  <c r="F685"/>
  <c r="E685"/>
  <c r="D685"/>
  <c r="C685"/>
  <c r="B685"/>
  <c r="K684"/>
  <c r="I684"/>
  <c r="H684"/>
  <c r="G684"/>
  <c r="F684"/>
  <c r="E684"/>
  <c r="D684"/>
  <c r="C684"/>
  <c r="B684"/>
  <c r="D683"/>
  <c r="I681"/>
  <c r="K679"/>
  <c r="I679"/>
  <c r="H679"/>
  <c r="G679"/>
  <c r="F679"/>
  <c r="E679"/>
  <c r="D679"/>
  <c r="C679"/>
  <c r="B679"/>
  <c r="K678"/>
  <c r="I678"/>
  <c r="H678"/>
  <c r="G678"/>
  <c r="F678"/>
  <c r="E678"/>
  <c r="D678"/>
  <c r="C678"/>
  <c r="B678"/>
  <c r="K677"/>
  <c r="I677"/>
  <c r="H677"/>
  <c r="G677"/>
  <c r="F677"/>
  <c r="E677"/>
  <c r="D677"/>
  <c r="C677"/>
  <c r="B677"/>
  <c r="K676"/>
  <c r="I676"/>
  <c r="H676"/>
  <c r="G676"/>
  <c r="F676"/>
  <c r="E676"/>
  <c r="D676"/>
  <c r="C676"/>
  <c r="B676"/>
  <c r="K675"/>
  <c r="I675"/>
  <c r="H675"/>
  <c r="G675"/>
  <c r="F675"/>
  <c r="E675"/>
  <c r="D675"/>
  <c r="C675"/>
  <c r="B675"/>
  <c r="K674"/>
  <c r="I674"/>
  <c r="H674"/>
  <c r="G674"/>
  <c r="F674"/>
  <c r="E674"/>
  <c r="D674"/>
  <c r="C674"/>
  <c r="B674"/>
  <c r="K673"/>
  <c r="I673"/>
  <c r="H673"/>
  <c r="G673"/>
  <c r="F673"/>
  <c r="E673"/>
  <c r="D673"/>
  <c r="C673"/>
  <c r="B673"/>
  <c r="K672"/>
  <c r="I672"/>
  <c r="H672"/>
  <c r="G672"/>
  <c r="F672"/>
  <c r="E672"/>
  <c r="D672"/>
  <c r="C672"/>
  <c r="B672"/>
  <c r="K671"/>
  <c r="I671"/>
  <c r="H671"/>
  <c r="G671"/>
  <c r="F671"/>
  <c r="E671"/>
  <c r="D671"/>
  <c r="C671"/>
  <c r="B671"/>
  <c r="K670"/>
  <c r="I670"/>
  <c r="H670"/>
  <c r="G670"/>
  <c r="F670"/>
  <c r="E670"/>
  <c r="D670"/>
  <c r="C670"/>
  <c r="B670"/>
  <c r="K669"/>
  <c r="I669"/>
  <c r="H669"/>
  <c r="G669"/>
  <c r="F669"/>
  <c r="E669"/>
  <c r="D669"/>
  <c r="C669"/>
  <c r="B669"/>
  <c r="K668"/>
  <c r="I668"/>
  <c r="H668"/>
  <c r="G668"/>
  <c r="F668"/>
  <c r="E668"/>
  <c r="D668"/>
  <c r="C668"/>
  <c r="B668"/>
  <c r="K667"/>
  <c r="I667"/>
  <c r="H667"/>
  <c r="G667"/>
  <c r="F667"/>
  <c r="E667"/>
  <c r="D667"/>
  <c r="C667"/>
  <c r="B667"/>
  <c r="K666"/>
  <c r="I666"/>
  <c r="H666"/>
  <c r="G666"/>
  <c r="F666"/>
  <c r="E666"/>
  <c r="D666"/>
  <c r="C666"/>
  <c r="B666"/>
  <c r="K665"/>
  <c r="I665"/>
  <c r="H665"/>
  <c r="G665"/>
  <c r="F665"/>
  <c r="E665"/>
  <c r="D665"/>
  <c r="C665"/>
  <c r="B665"/>
  <c r="D663"/>
  <c r="K658"/>
  <c r="I658"/>
  <c r="H658"/>
  <c r="G658"/>
  <c r="F658"/>
  <c r="E658"/>
  <c r="D658"/>
  <c r="C658"/>
  <c r="B658"/>
  <c r="K657"/>
  <c r="I657"/>
  <c r="H657"/>
  <c r="G657"/>
  <c r="F657"/>
  <c r="E657"/>
  <c r="D657"/>
  <c r="C657"/>
  <c r="B657"/>
  <c r="K656"/>
  <c r="I656"/>
  <c r="H656"/>
  <c r="G656"/>
  <c r="F656"/>
  <c r="E656"/>
  <c r="D656"/>
  <c r="C656"/>
  <c r="B656"/>
  <c r="K655"/>
  <c r="I655"/>
  <c r="H655"/>
  <c r="G655"/>
  <c r="F655"/>
  <c r="E655"/>
  <c r="D655"/>
  <c r="C655"/>
  <c r="B655"/>
  <c r="K654"/>
  <c r="I654"/>
  <c r="H654"/>
  <c r="G654"/>
  <c r="F654"/>
  <c r="E654"/>
  <c r="D654"/>
  <c r="C654"/>
  <c r="B654"/>
  <c r="K653"/>
  <c r="I653"/>
  <c r="H653"/>
  <c r="G653"/>
  <c r="F653"/>
  <c r="E653"/>
  <c r="D653"/>
  <c r="C653"/>
  <c r="B653"/>
  <c r="K652"/>
  <c r="I652"/>
  <c r="H652"/>
  <c r="G652"/>
  <c r="F652"/>
  <c r="E652"/>
  <c r="D652"/>
  <c r="C652"/>
  <c r="B652"/>
  <c r="K651"/>
  <c r="I651"/>
  <c r="H651"/>
  <c r="G651"/>
  <c r="F651"/>
  <c r="E651"/>
  <c r="D651"/>
  <c r="C651"/>
  <c r="B651"/>
  <c r="K650"/>
  <c r="I650"/>
  <c r="H650"/>
  <c r="G650"/>
  <c r="F650"/>
  <c r="E650"/>
  <c r="D650"/>
  <c r="C650"/>
  <c r="B650"/>
  <c r="D649"/>
  <c r="K647"/>
  <c r="I647"/>
  <c r="H647"/>
  <c r="G647"/>
  <c r="F647"/>
  <c r="E647"/>
  <c r="D647"/>
  <c r="C647"/>
  <c r="B647"/>
  <c r="K646"/>
  <c r="I646"/>
  <c r="H646"/>
  <c r="G646"/>
  <c r="F646"/>
  <c r="E646"/>
  <c r="D646"/>
  <c r="C646"/>
  <c r="B646"/>
  <c r="D645"/>
  <c r="K643"/>
  <c r="I643"/>
  <c r="H643"/>
  <c r="G643"/>
  <c r="F643"/>
  <c r="E643"/>
  <c r="D643"/>
  <c r="C643"/>
  <c r="B643"/>
  <c r="D642"/>
  <c r="K640"/>
  <c r="I640"/>
  <c r="H640"/>
  <c r="G640"/>
  <c r="F640"/>
  <c r="E640"/>
  <c r="D640"/>
  <c r="C640"/>
  <c r="B640"/>
  <c r="K639"/>
  <c r="I639"/>
  <c r="H639"/>
  <c r="G639"/>
  <c r="F639"/>
  <c r="E639"/>
  <c r="D639"/>
  <c r="C639"/>
  <c r="B639"/>
  <c r="K638"/>
  <c r="I638"/>
  <c r="H638"/>
  <c r="G638"/>
  <c r="F638"/>
  <c r="E638"/>
  <c r="D638"/>
  <c r="C638"/>
  <c r="B638"/>
  <c r="K637"/>
  <c r="I637"/>
  <c r="H637"/>
  <c r="G637"/>
  <c r="F637"/>
  <c r="E637"/>
  <c r="D637"/>
  <c r="C637"/>
  <c r="B637"/>
  <c r="K636"/>
  <c r="I636"/>
  <c r="H636"/>
  <c r="G636"/>
  <c r="F636"/>
  <c r="E636"/>
  <c r="D636"/>
  <c r="C636"/>
  <c r="B636"/>
  <c r="K635"/>
  <c r="I635"/>
  <c r="H635"/>
  <c r="G635"/>
  <c r="F635"/>
  <c r="E635"/>
  <c r="D635"/>
  <c r="C635"/>
  <c r="B635"/>
  <c r="D634"/>
  <c r="K632"/>
  <c r="I632"/>
  <c r="H632"/>
  <c r="G632"/>
  <c r="F632"/>
  <c r="E632"/>
  <c r="D632"/>
  <c r="C632"/>
  <c r="B632"/>
  <c r="K631"/>
  <c r="I631"/>
  <c r="H631"/>
  <c r="G631"/>
  <c r="F631"/>
  <c r="E631"/>
  <c r="D631"/>
  <c r="C631"/>
  <c r="B631"/>
  <c r="D630"/>
  <c r="K628"/>
  <c r="I628"/>
  <c r="H628"/>
  <c r="G628"/>
  <c r="F628"/>
  <c r="E628"/>
  <c r="D628"/>
  <c r="C628"/>
  <c r="B628"/>
  <c r="K627"/>
  <c r="I627"/>
  <c r="H627"/>
  <c r="G627"/>
  <c r="F627"/>
  <c r="E627"/>
  <c r="D627"/>
  <c r="C627"/>
  <c r="B627"/>
  <c r="K626"/>
  <c r="I626"/>
  <c r="H626"/>
  <c r="G626"/>
  <c r="F626"/>
  <c r="E626"/>
  <c r="D626"/>
  <c r="C626"/>
  <c r="B626"/>
  <c r="K625"/>
  <c r="I625"/>
  <c r="H625"/>
  <c r="G625"/>
  <c r="F625"/>
  <c r="E625"/>
  <c r="D625"/>
  <c r="C625"/>
  <c r="B625"/>
  <c r="D624"/>
  <c r="K622"/>
  <c r="I622"/>
  <c r="H622"/>
  <c r="G622"/>
  <c r="F622"/>
  <c r="E622"/>
  <c r="D622"/>
  <c r="C622"/>
  <c r="B622"/>
  <c r="K621"/>
  <c r="I621"/>
  <c r="H621"/>
  <c r="G621"/>
  <c r="F621"/>
  <c r="E621"/>
  <c r="D621"/>
  <c r="C621"/>
  <c r="B621"/>
  <c r="K620"/>
  <c r="I620"/>
  <c r="H620"/>
  <c r="G620"/>
  <c r="F620"/>
  <c r="E620"/>
  <c r="D620"/>
  <c r="C620"/>
  <c r="B620"/>
  <c r="K619"/>
  <c r="I619"/>
  <c r="H619"/>
  <c r="G619"/>
  <c r="F619"/>
  <c r="E619"/>
  <c r="D619"/>
  <c r="C619"/>
  <c r="B619"/>
  <c r="K618"/>
  <c r="I618"/>
  <c r="H618"/>
  <c r="G618"/>
  <c r="F618"/>
  <c r="E618"/>
  <c r="D618"/>
  <c r="C618"/>
  <c r="B618"/>
  <c r="D617"/>
  <c r="K612"/>
  <c r="I612"/>
  <c r="H612"/>
  <c r="G612"/>
  <c r="F612"/>
  <c r="E612"/>
  <c r="D612"/>
  <c r="C612"/>
  <c r="B612"/>
  <c r="D611"/>
  <c r="K609"/>
  <c r="I609"/>
  <c r="H609"/>
  <c r="G609"/>
  <c r="F609"/>
  <c r="E609"/>
  <c r="D609"/>
  <c r="C609"/>
  <c r="B609"/>
  <c r="K608"/>
  <c r="I608"/>
  <c r="H608"/>
  <c r="G608"/>
  <c r="F608"/>
  <c r="E608"/>
  <c r="D608"/>
  <c r="C608"/>
  <c r="B608"/>
  <c r="K607"/>
  <c r="I607"/>
  <c r="H607"/>
  <c r="G607"/>
  <c r="F607"/>
  <c r="E607"/>
  <c r="D607"/>
  <c r="C607"/>
  <c r="B607"/>
  <c r="D606"/>
  <c r="K604"/>
  <c r="I604"/>
  <c r="H604"/>
  <c r="G604"/>
  <c r="F604"/>
  <c r="E604"/>
  <c r="D604"/>
  <c r="C604"/>
  <c r="B604"/>
  <c r="D603"/>
  <c r="K601"/>
  <c r="I601"/>
  <c r="H601"/>
  <c r="G601"/>
  <c r="F601"/>
  <c r="E601"/>
  <c r="D601"/>
  <c r="C601"/>
  <c r="B601"/>
  <c r="K600"/>
  <c r="I600"/>
  <c r="H600"/>
  <c r="G600"/>
  <c r="F600"/>
  <c r="E600"/>
  <c r="D600"/>
  <c r="C600"/>
  <c r="B600"/>
  <c r="K599"/>
  <c r="I599"/>
  <c r="H599"/>
  <c r="G599"/>
  <c r="F599"/>
  <c r="E599"/>
  <c r="D599"/>
  <c r="C599"/>
  <c r="B599"/>
  <c r="D598"/>
  <c r="K596"/>
  <c r="I596"/>
  <c r="H596"/>
  <c r="G596"/>
  <c r="F596"/>
  <c r="E596"/>
  <c r="D596"/>
  <c r="C596"/>
  <c r="B596"/>
  <c r="K595"/>
  <c r="I595"/>
  <c r="H595"/>
  <c r="G595"/>
  <c r="F595"/>
  <c r="E595"/>
  <c r="D595"/>
  <c r="C595"/>
  <c r="B595"/>
  <c r="K594"/>
  <c r="I594"/>
  <c r="H594"/>
  <c r="G594"/>
  <c r="F594"/>
  <c r="E594"/>
  <c r="D594"/>
  <c r="C594"/>
  <c r="B594"/>
  <c r="K593"/>
  <c r="I593"/>
  <c r="H593"/>
  <c r="G593"/>
  <c r="F593"/>
  <c r="E593"/>
  <c r="D593"/>
  <c r="C593"/>
  <c r="B593"/>
  <c r="K592"/>
  <c r="I592"/>
  <c r="H592"/>
  <c r="G592"/>
  <c r="F592"/>
  <c r="E592"/>
  <c r="D592"/>
  <c r="C592"/>
  <c r="B592"/>
  <c r="K591"/>
  <c r="I591"/>
  <c r="H591"/>
  <c r="G591"/>
  <c r="F591"/>
  <c r="E591"/>
  <c r="D591"/>
  <c r="C591"/>
  <c r="B591"/>
  <c r="D590"/>
  <c r="K588"/>
  <c r="I588"/>
  <c r="H588"/>
  <c r="G588"/>
  <c r="F588"/>
  <c r="E588"/>
  <c r="D588"/>
  <c r="C588"/>
  <c r="B588"/>
  <c r="K587"/>
  <c r="I587"/>
  <c r="H587"/>
  <c r="G587"/>
  <c r="F587"/>
  <c r="E587"/>
  <c r="D587"/>
  <c r="C587"/>
  <c r="B587"/>
  <c r="K586"/>
  <c r="I586"/>
  <c r="H586"/>
  <c r="G586"/>
  <c r="F586"/>
  <c r="E586"/>
  <c r="D586"/>
  <c r="C586"/>
  <c r="B586"/>
  <c r="K585"/>
  <c r="I585"/>
  <c r="H585"/>
  <c r="G585"/>
  <c r="F585"/>
  <c r="E585"/>
  <c r="D585"/>
  <c r="C585"/>
  <c r="B585"/>
  <c r="K584"/>
  <c r="I584"/>
  <c r="H584"/>
  <c r="G584"/>
  <c r="F584"/>
  <c r="E584"/>
  <c r="D584"/>
  <c r="C584"/>
  <c r="B584"/>
  <c r="D583"/>
  <c r="I581"/>
  <c r="K578"/>
  <c r="I578"/>
  <c r="H578"/>
  <c r="G578"/>
  <c r="F578"/>
  <c r="E578"/>
  <c r="D578"/>
  <c r="C578"/>
  <c r="B578"/>
  <c r="K577"/>
  <c r="I577"/>
  <c r="H577"/>
  <c r="G577"/>
  <c r="F577"/>
  <c r="E577"/>
  <c r="D577"/>
  <c r="C577"/>
  <c r="B577"/>
  <c r="K576"/>
  <c r="I576"/>
  <c r="H576"/>
  <c r="G576"/>
  <c r="F576"/>
  <c r="E576"/>
  <c r="D576"/>
  <c r="C576"/>
  <c r="B576"/>
  <c r="K575"/>
  <c r="I575"/>
  <c r="H575"/>
  <c r="G575"/>
  <c r="F575"/>
  <c r="E575"/>
  <c r="D575"/>
  <c r="C575"/>
  <c r="B575"/>
  <c r="K574"/>
  <c r="I574"/>
  <c r="H574"/>
  <c r="G574"/>
  <c r="F574"/>
  <c r="E574"/>
  <c r="D574"/>
  <c r="C574"/>
  <c r="B574"/>
  <c r="K573"/>
  <c r="I573"/>
  <c r="H573"/>
  <c r="G573"/>
  <c r="F573"/>
  <c r="E573"/>
  <c r="D573"/>
  <c r="C573"/>
  <c r="B573"/>
  <c r="K572"/>
  <c r="I572"/>
  <c r="H572"/>
  <c r="G572"/>
  <c r="F572"/>
  <c r="E572"/>
  <c r="D572"/>
  <c r="C572"/>
  <c r="B572"/>
  <c r="K571"/>
  <c r="I571"/>
  <c r="H571"/>
  <c r="G571"/>
  <c r="F571"/>
  <c r="E571"/>
  <c r="D571"/>
  <c r="C571"/>
  <c r="B571"/>
  <c r="K570"/>
  <c r="I570"/>
  <c r="H570"/>
  <c r="G570"/>
  <c r="F570"/>
  <c r="E570"/>
  <c r="D570"/>
  <c r="C570"/>
  <c r="B570"/>
  <c r="K569"/>
  <c r="I569"/>
  <c r="H569"/>
  <c r="G569"/>
  <c r="F569"/>
  <c r="E569"/>
  <c r="D569"/>
  <c r="C569"/>
  <c r="B569"/>
  <c r="K568"/>
  <c r="I568"/>
  <c r="H568"/>
  <c r="G568"/>
  <c r="F568"/>
  <c r="E568"/>
  <c r="D568"/>
  <c r="C568"/>
  <c r="B568"/>
  <c r="K567"/>
  <c r="I567"/>
  <c r="H567"/>
  <c r="G567"/>
  <c r="F567"/>
  <c r="E567"/>
  <c r="D567"/>
  <c r="C567"/>
  <c r="B567"/>
  <c r="K566"/>
  <c r="I566"/>
  <c r="H566"/>
  <c r="G566"/>
  <c r="F566"/>
  <c r="E566"/>
  <c r="D566"/>
  <c r="C566"/>
  <c r="B566"/>
  <c r="K565"/>
  <c r="I565"/>
  <c r="H565"/>
  <c r="G565"/>
  <c r="F565"/>
  <c r="E565"/>
  <c r="D565"/>
  <c r="C565"/>
  <c r="B565"/>
  <c r="K564"/>
  <c r="I564"/>
  <c r="H564"/>
  <c r="G564"/>
  <c r="F564"/>
  <c r="E564"/>
  <c r="D564"/>
  <c r="C564"/>
  <c r="B564"/>
  <c r="K563"/>
  <c r="I563"/>
  <c r="H563"/>
  <c r="G563"/>
  <c r="F563"/>
  <c r="E563"/>
  <c r="D563"/>
  <c r="C563"/>
  <c r="B563"/>
  <c r="K562"/>
  <c r="I562"/>
  <c r="H562"/>
  <c r="G562"/>
  <c r="F562"/>
  <c r="E562"/>
  <c r="D562"/>
  <c r="C562"/>
  <c r="B562"/>
  <c r="K561"/>
  <c r="I561"/>
  <c r="H561"/>
  <c r="G561"/>
  <c r="F561"/>
  <c r="E561"/>
  <c r="D561"/>
  <c r="C561"/>
  <c r="B561"/>
  <c r="K560"/>
  <c r="I560"/>
  <c r="H560"/>
  <c r="G560"/>
  <c r="F560"/>
  <c r="E560"/>
  <c r="D560"/>
  <c r="C560"/>
  <c r="B560"/>
  <c r="K559"/>
  <c r="I559"/>
  <c r="H559"/>
  <c r="G559"/>
  <c r="F559"/>
  <c r="E559"/>
  <c r="D559"/>
  <c r="C559"/>
  <c r="B559"/>
  <c r="K558"/>
  <c r="I558"/>
  <c r="H558"/>
  <c r="G558"/>
  <c r="F558"/>
  <c r="E558"/>
  <c r="D558"/>
  <c r="C558"/>
  <c r="B558"/>
  <c r="K557"/>
  <c r="I557"/>
  <c r="H557"/>
  <c r="G557"/>
  <c r="F557"/>
  <c r="E557"/>
  <c r="D557"/>
  <c r="C557"/>
  <c r="B557"/>
  <c r="K556"/>
  <c r="I556"/>
  <c r="H556"/>
  <c r="G556"/>
  <c r="F556"/>
  <c r="E556"/>
  <c r="D556"/>
  <c r="C556"/>
  <c r="B556"/>
  <c r="K555"/>
  <c r="I555"/>
  <c r="H555"/>
  <c r="G555"/>
  <c r="F555"/>
  <c r="E555"/>
  <c r="D555"/>
  <c r="C555"/>
  <c r="B555"/>
  <c r="K554"/>
  <c r="I554"/>
  <c r="H554"/>
  <c r="G554"/>
  <c r="F554"/>
  <c r="E554"/>
  <c r="D554"/>
  <c r="C554"/>
  <c r="B554"/>
  <c r="K553"/>
  <c r="I553"/>
  <c r="H553"/>
  <c r="G553"/>
  <c r="F553"/>
  <c r="E553"/>
  <c r="D553"/>
  <c r="C553"/>
  <c r="B553"/>
  <c r="K552"/>
  <c r="I552"/>
  <c r="H552"/>
  <c r="G552"/>
  <c r="F552"/>
  <c r="E552"/>
  <c r="D552"/>
  <c r="C552"/>
  <c r="B552"/>
  <c r="K551"/>
  <c r="I551"/>
  <c r="H551"/>
  <c r="G551"/>
  <c r="F551"/>
  <c r="E551"/>
  <c r="D551"/>
  <c r="C551"/>
  <c r="B551"/>
  <c r="D549"/>
  <c r="K547"/>
  <c r="I547"/>
  <c r="H547"/>
  <c r="G547"/>
  <c r="F547"/>
  <c r="E547"/>
  <c r="D547"/>
  <c r="C547"/>
  <c r="B547"/>
  <c r="K546"/>
  <c r="I546"/>
  <c r="H546"/>
  <c r="G546"/>
  <c r="F546"/>
  <c r="E546"/>
  <c r="D546"/>
  <c r="C546"/>
  <c r="B546"/>
  <c r="D545"/>
  <c r="K543"/>
  <c r="I543"/>
  <c r="H543"/>
  <c r="G543"/>
  <c r="F543"/>
  <c r="E543"/>
  <c r="D543"/>
  <c r="C543"/>
  <c r="B543"/>
  <c r="K542"/>
  <c r="I542"/>
  <c r="H542"/>
  <c r="G542"/>
  <c r="F542"/>
  <c r="E542"/>
  <c r="D542"/>
  <c r="C542"/>
  <c r="B542"/>
  <c r="K541"/>
  <c r="I541"/>
  <c r="H541"/>
  <c r="G541"/>
  <c r="F541"/>
  <c r="E541"/>
  <c r="D541"/>
  <c r="C541"/>
  <c r="B541"/>
  <c r="K540"/>
  <c r="I540"/>
  <c r="H540"/>
  <c r="G540"/>
  <c r="F540"/>
  <c r="E540"/>
  <c r="D540"/>
  <c r="C540"/>
  <c r="B540"/>
  <c r="K539"/>
  <c r="I539"/>
  <c r="H539"/>
  <c r="G539"/>
  <c r="F539"/>
  <c r="E539"/>
  <c r="D539"/>
  <c r="C539"/>
  <c r="B539"/>
  <c r="K538"/>
  <c r="I538"/>
  <c r="H538"/>
  <c r="G538"/>
  <c r="F538"/>
  <c r="E538"/>
  <c r="D538"/>
  <c r="C538"/>
  <c r="B538"/>
  <c r="K537"/>
  <c r="I537"/>
  <c r="H537"/>
  <c r="G537"/>
  <c r="F537"/>
  <c r="E537"/>
  <c r="D537"/>
  <c r="C537"/>
  <c r="B537"/>
  <c r="K536"/>
  <c r="I536"/>
  <c r="H536"/>
  <c r="G536"/>
  <c r="F536"/>
  <c r="E536"/>
  <c r="D536"/>
  <c r="C536"/>
  <c r="B536"/>
  <c r="K535"/>
  <c r="I535"/>
  <c r="H535"/>
  <c r="G535"/>
  <c r="F535"/>
  <c r="E535"/>
  <c r="D535"/>
  <c r="C535"/>
  <c r="B535"/>
  <c r="K534"/>
  <c r="I534"/>
  <c r="H534"/>
  <c r="G534"/>
  <c r="F534"/>
  <c r="E534"/>
  <c r="D534"/>
  <c r="C534"/>
  <c r="B534"/>
  <c r="K533"/>
  <c r="I533"/>
  <c r="H533"/>
  <c r="G533"/>
  <c r="F533"/>
  <c r="E533"/>
  <c r="D533"/>
  <c r="C533"/>
  <c r="B533"/>
  <c r="K532"/>
  <c r="I532"/>
  <c r="H532"/>
  <c r="G532"/>
  <c r="F532"/>
  <c r="E532"/>
  <c r="D532"/>
  <c r="C532"/>
  <c r="B532"/>
  <c r="K531"/>
  <c r="I531"/>
  <c r="H531"/>
  <c r="G531"/>
  <c r="F531"/>
  <c r="E531"/>
  <c r="D531"/>
  <c r="C531"/>
  <c r="B531"/>
  <c r="K530"/>
  <c r="I530"/>
  <c r="H530"/>
  <c r="G530"/>
  <c r="F530"/>
  <c r="E530"/>
  <c r="D530"/>
  <c r="C530"/>
  <c r="B530"/>
  <c r="K529"/>
  <c r="I529"/>
  <c r="H529"/>
  <c r="G529"/>
  <c r="F529"/>
  <c r="E529"/>
  <c r="D529"/>
  <c r="C529"/>
  <c r="B529"/>
  <c r="K528"/>
  <c r="I528"/>
  <c r="H528"/>
  <c r="G528"/>
  <c r="F528"/>
  <c r="E528"/>
  <c r="D528"/>
  <c r="C528"/>
  <c r="B528"/>
  <c r="K527"/>
  <c r="I527"/>
  <c r="H527"/>
  <c r="G527"/>
  <c r="F527"/>
  <c r="E527"/>
  <c r="D527"/>
  <c r="C527"/>
  <c r="B527"/>
  <c r="K526"/>
  <c r="I526"/>
  <c r="H526"/>
  <c r="G526"/>
  <c r="F526"/>
  <c r="E526"/>
  <c r="D526"/>
  <c r="C526"/>
  <c r="B526"/>
  <c r="K525"/>
  <c r="I525"/>
  <c r="H525"/>
  <c r="G525"/>
  <c r="F525"/>
  <c r="E525"/>
  <c r="D525"/>
  <c r="C525"/>
  <c r="B525"/>
  <c r="K524"/>
  <c r="I524"/>
  <c r="H524"/>
  <c r="G524"/>
  <c r="F524"/>
  <c r="E524"/>
  <c r="D524"/>
  <c r="C524"/>
  <c r="B524"/>
  <c r="D523"/>
  <c r="K521"/>
  <c r="I521"/>
  <c r="H521"/>
  <c r="G521"/>
  <c r="F521"/>
  <c r="E521"/>
  <c r="D521"/>
  <c r="C521"/>
  <c r="B521"/>
  <c r="K520"/>
  <c r="I520"/>
  <c r="H520"/>
  <c r="G520"/>
  <c r="F520"/>
  <c r="E520"/>
  <c r="D520"/>
  <c r="C520"/>
  <c r="B520"/>
  <c r="K519"/>
  <c r="I519"/>
  <c r="H519"/>
  <c r="G519"/>
  <c r="F519"/>
  <c r="E519"/>
  <c r="D519"/>
  <c r="C519"/>
  <c r="B519"/>
  <c r="K518"/>
  <c r="I518"/>
  <c r="H518"/>
  <c r="G518"/>
  <c r="F518"/>
  <c r="E518"/>
  <c r="D518"/>
  <c r="C518"/>
  <c r="B518"/>
  <c r="K517"/>
  <c r="I517"/>
  <c r="H517"/>
  <c r="G517"/>
  <c r="F517"/>
  <c r="E517"/>
  <c r="D517"/>
  <c r="C517"/>
  <c r="B517"/>
  <c r="K516"/>
  <c r="I516"/>
  <c r="H516"/>
  <c r="G516"/>
  <c r="F516"/>
  <c r="E516"/>
  <c r="D516"/>
  <c r="C516"/>
  <c r="B516"/>
  <c r="K515"/>
  <c r="I515"/>
  <c r="H515"/>
  <c r="G515"/>
  <c r="F515"/>
  <c r="E515"/>
  <c r="D515"/>
  <c r="C515"/>
  <c r="B515"/>
  <c r="K514"/>
  <c r="I514"/>
  <c r="H514"/>
  <c r="G514"/>
  <c r="F514"/>
  <c r="E514"/>
  <c r="D514"/>
  <c r="C514"/>
  <c r="B514"/>
  <c r="K513"/>
  <c r="I513"/>
  <c r="H513"/>
  <c r="G513"/>
  <c r="F513"/>
  <c r="E513"/>
  <c r="D513"/>
  <c r="C513"/>
  <c r="B513"/>
  <c r="D512"/>
  <c r="K510"/>
  <c r="I510"/>
  <c r="H510"/>
  <c r="G510"/>
  <c r="F510"/>
  <c r="E510"/>
  <c r="D510"/>
  <c r="C510"/>
  <c r="B510"/>
  <c r="K509"/>
  <c r="I509"/>
  <c r="H509"/>
  <c r="G509"/>
  <c r="F509"/>
  <c r="E509"/>
  <c r="D509"/>
  <c r="C509"/>
  <c r="B509"/>
  <c r="K508"/>
  <c r="I508"/>
  <c r="H508"/>
  <c r="G508"/>
  <c r="F508"/>
  <c r="E508"/>
  <c r="D508"/>
  <c r="C508"/>
  <c r="B508"/>
  <c r="K507"/>
  <c r="I507"/>
  <c r="H507"/>
  <c r="G507"/>
  <c r="F507"/>
  <c r="E507"/>
  <c r="D507"/>
  <c r="C507"/>
  <c r="B507"/>
  <c r="K506"/>
  <c r="I506"/>
  <c r="H506"/>
  <c r="G506"/>
  <c r="F506"/>
  <c r="E506"/>
  <c r="D506"/>
  <c r="C506"/>
  <c r="B506"/>
  <c r="K505"/>
  <c r="I505"/>
  <c r="H505"/>
  <c r="G505"/>
  <c r="F505"/>
  <c r="E505"/>
  <c r="D505"/>
  <c r="C505"/>
  <c r="B505"/>
  <c r="K504"/>
  <c r="I504"/>
  <c r="H504"/>
  <c r="G504"/>
  <c r="F504"/>
  <c r="E504"/>
  <c r="D504"/>
  <c r="C504"/>
  <c r="B504"/>
  <c r="K503"/>
  <c r="I503"/>
  <c r="H503"/>
  <c r="G503"/>
  <c r="F503"/>
  <c r="E503"/>
  <c r="D503"/>
  <c r="C503"/>
  <c r="B503"/>
  <c r="K502"/>
  <c r="I502"/>
  <c r="H502"/>
  <c r="G502"/>
  <c r="F502"/>
  <c r="E502"/>
  <c r="D502"/>
  <c r="C502"/>
  <c r="B502"/>
  <c r="K501"/>
  <c r="I501"/>
  <c r="H501"/>
  <c r="G501"/>
  <c r="F501"/>
  <c r="E501"/>
  <c r="D501"/>
  <c r="C501"/>
  <c r="B501"/>
  <c r="K500"/>
  <c r="I500"/>
  <c r="H500"/>
  <c r="G500"/>
  <c r="F500"/>
  <c r="E500"/>
  <c r="D500"/>
  <c r="C500"/>
  <c r="B500"/>
  <c r="K499"/>
  <c r="I499"/>
  <c r="H499"/>
  <c r="G499"/>
  <c r="F499"/>
  <c r="E499"/>
  <c r="D499"/>
  <c r="C499"/>
  <c r="B499"/>
  <c r="K498"/>
  <c r="I498"/>
  <c r="H498"/>
  <c r="G498"/>
  <c r="F498"/>
  <c r="E498"/>
  <c r="D498"/>
  <c r="C498"/>
  <c r="B498"/>
  <c r="D497"/>
  <c r="D495"/>
  <c r="K493"/>
  <c r="I493"/>
  <c r="H493"/>
  <c r="G493"/>
  <c r="F493"/>
  <c r="E493"/>
  <c r="D493"/>
  <c r="C493"/>
  <c r="B493"/>
  <c r="K492"/>
  <c r="I492"/>
  <c r="H492"/>
  <c r="G492"/>
  <c r="F492"/>
  <c r="E492"/>
  <c r="D492"/>
  <c r="C492"/>
  <c r="B492"/>
  <c r="K491"/>
  <c r="I491"/>
  <c r="H491"/>
  <c r="G491"/>
  <c r="F491"/>
  <c r="E491"/>
  <c r="D491"/>
  <c r="C491"/>
  <c r="B491"/>
  <c r="K490"/>
  <c r="I490"/>
  <c r="H490"/>
  <c r="G490"/>
  <c r="F490"/>
  <c r="E490"/>
  <c r="D490"/>
  <c r="C490"/>
  <c r="B490"/>
  <c r="K489"/>
  <c r="I489"/>
  <c r="H489"/>
  <c r="G489"/>
  <c r="F489"/>
  <c r="E489"/>
  <c r="D489"/>
  <c r="C489"/>
  <c r="B489"/>
  <c r="D488"/>
  <c r="K486"/>
  <c r="I486"/>
  <c r="H486"/>
  <c r="G486"/>
  <c r="F486"/>
  <c r="E486"/>
  <c r="D486"/>
  <c r="C486"/>
  <c r="B486"/>
  <c r="K485"/>
  <c r="I485"/>
  <c r="H485"/>
  <c r="G485"/>
  <c r="F485"/>
  <c r="E485"/>
  <c r="D485"/>
  <c r="C485"/>
  <c r="B485"/>
  <c r="K484"/>
  <c r="I484"/>
  <c r="H484"/>
  <c r="G484"/>
  <c r="F484"/>
  <c r="E484"/>
  <c r="D484"/>
  <c r="C484"/>
  <c r="B484"/>
  <c r="K483"/>
  <c r="I483"/>
  <c r="H483"/>
  <c r="G483"/>
  <c r="F483"/>
  <c r="E483"/>
  <c r="D483"/>
  <c r="C483"/>
  <c r="B483"/>
  <c r="K482"/>
  <c r="I482"/>
  <c r="H482"/>
  <c r="G482"/>
  <c r="F482"/>
  <c r="E482"/>
  <c r="D482"/>
  <c r="C482"/>
  <c r="B482"/>
  <c r="K481"/>
  <c r="I481"/>
  <c r="H481"/>
  <c r="G481"/>
  <c r="F481"/>
  <c r="E481"/>
  <c r="D481"/>
  <c r="C481"/>
  <c r="B481"/>
  <c r="K480"/>
  <c r="I480"/>
  <c r="H480"/>
  <c r="G480"/>
  <c r="F480"/>
  <c r="E480"/>
  <c r="D480"/>
  <c r="C480"/>
  <c r="B480"/>
  <c r="K479"/>
  <c r="I479"/>
  <c r="H479"/>
  <c r="G479"/>
  <c r="F479"/>
  <c r="E479"/>
  <c r="D479"/>
  <c r="C479"/>
  <c r="B479"/>
  <c r="K478"/>
  <c r="I478"/>
  <c r="H478"/>
  <c r="G478"/>
  <c r="F478"/>
  <c r="E478"/>
  <c r="D478"/>
  <c r="C478"/>
  <c r="B478"/>
  <c r="K477"/>
  <c r="I477"/>
  <c r="H477"/>
  <c r="G477"/>
  <c r="F477"/>
  <c r="E477"/>
  <c r="D477"/>
  <c r="C477"/>
  <c r="B477"/>
  <c r="K476"/>
  <c r="I476"/>
  <c r="H476"/>
  <c r="G476"/>
  <c r="F476"/>
  <c r="E476"/>
  <c r="D476"/>
  <c r="C476"/>
  <c r="B476"/>
  <c r="K475"/>
  <c r="I475"/>
  <c r="H475"/>
  <c r="G475"/>
  <c r="F475"/>
  <c r="E475"/>
  <c r="D475"/>
  <c r="C475"/>
  <c r="B475"/>
  <c r="K474"/>
  <c r="I474"/>
  <c r="H474"/>
  <c r="G474"/>
  <c r="F474"/>
  <c r="E474"/>
  <c r="D474"/>
  <c r="C474"/>
  <c r="B474"/>
  <c r="K473"/>
  <c r="I473"/>
  <c r="H473"/>
  <c r="G473"/>
  <c r="F473"/>
  <c r="E473"/>
  <c r="D473"/>
  <c r="C473"/>
  <c r="B473"/>
  <c r="K472"/>
  <c r="I472"/>
  <c r="H472"/>
  <c r="G472"/>
  <c r="F472"/>
  <c r="E472"/>
  <c r="D472"/>
  <c r="C472"/>
  <c r="B472"/>
  <c r="K471"/>
  <c r="I471"/>
  <c r="H471"/>
  <c r="G471"/>
  <c r="F471"/>
  <c r="E471"/>
  <c r="D471"/>
  <c r="C471"/>
  <c r="B471"/>
  <c r="K470"/>
  <c r="I470"/>
  <c r="H470"/>
  <c r="G470"/>
  <c r="F470"/>
  <c r="E470"/>
  <c r="D470"/>
  <c r="C470"/>
  <c r="B470"/>
  <c r="K469"/>
  <c r="I469"/>
  <c r="H469"/>
  <c r="G469"/>
  <c r="F469"/>
  <c r="E469"/>
  <c r="D469"/>
  <c r="C469"/>
  <c r="B469"/>
  <c r="K468"/>
  <c r="I468"/>
  <c r="H468"/>
  <c r="G468"/>
  <c r="F468"/>
  <c r="E468"/>
  <c r="D468"/>
  <c r="C468"/>
  <c r="B468"/>
  <c r="K467"/>
  <c r="I467"/>
  <c r="H467"/>
  <c r="G467"/>
  <c r="F467"/>
  <c r="E467"/>
  <c r="D467"/>
  <c r="C467"/>
  <c r="B467"/>
  <c r="K466"/>
  <c r="I466"/>
  <c r="H466"/>
  <c r="G466"/>
  <c r="F466"/>
  <c r="E466"/>
  <c r="D466"/>
  <c r="C466"/>
  <c r="B466"/>
  <c r="K465"/>
  <c r="I465"/>
  <c r="H465"/>
  <c r="G465"/>
  <c r="F465"/>
  <c r="E465"/>
  <c r="D465"/>
  <c r="C465"/>
  <c r="B465"/>
  <c r="K464"/>
  <c r="I464"/>
  <c r="H464"/>
  <c r="G464"/>
  <c r="F464"/>
  <c r="E464"/>
  <c r="D464"/>
  <c r="C464"/>
  <c r="B464"/>
  <c r="K463"/>
  <c r="I463"/>
  <c r="H463"/>
  <c r="G463"/>
  <c r="F463"/>
  <c r="E463"/>
  <c r="D463"/>
  <c r="C463"/>
  <c r="B463"/>
  <c r="K462"/>
  <c r="I462"/>
  <c r="H462"/>
  <c r="G462"/>
  <c r="F462"/>
  <c r="E462"/>
  <c r="D462"/>
  <c r="C462"/>
  <c r="B462"/>
  <c r="K461"/>
  <c r="I461"/>
  <c r="H461"/>
  <c r="G461"/>
  <c r="F461"/>
  <c r="E461"/>
  <c r="D461"/>
  <c r="C461"/>
  <c r="B461"/>
  <c r="K460"/>
  <c r="I460"/>
  <c r="H460"/>
  <c r="G460"/>
  <c r="F460"/>
  <c r="E460"/>
  <c r="D460"/>
  <c r="C460"/>
  <c r="B460"/>
  <c r="K459"/>
  <c r="I459"/>
  <c r="H459"/>
  <c r="G459"/>
  <c r="F459"/>
  <c r="E459"/>
  <c r="D459"/>
  <c r="C459"/>
  <c r="B459"/>
  <c r="K458"/>
  <c r="I458"/>
  <c r="H458"/>
  <c r="G458"/>
  <c r="F458"/>
  <c r="E458"/>
  <c r="D458"/>
  <c r="C458"/>
  <c r="B458"/>
  <c r="K457"/>
  <c r="I457"/>
  <c r="H457"/>
  <c r="G457"/>
  <c r="F457"/>
  <c r="E457"/>
  <c r="D457"/>
  <c r="C457"/>
  <c r="B457"/>
  <c r="K456"/>
  <c r="I456"/>
  <c r="H456"/>
  <c r="G456"/>
  <c r="F456"/>
  <c r="E456"/>
  <c r="D456"/>
  <c r="C456"/>
  <c r="B456"/>
  <c r="K455"/>
  <c r="I455"/>
  <c r="H455"/>
  <c r="G455"/>
  <c r="F455"/>
  <c r="E455"/>
  <c r="D455"/>
  <c r="C455"/>
  <c r="B455"/>
  <c r="K454"/>
  <c r="I454"/>
  <c r="H454"/>
  <c r="G454"/>
  <c r="F454"/>
  <c r="E454"/>
  <c r="D454"/>
  <c r="C454"/>
  <c r="B454"/>
  <c r="D453"/>
  <c r="K451"/>
  <c r="I451"/>
  <c r="H451"/>
  <c r="G451"/>
  <c r="F451"/>
  <c r="E451"/>
  <c r="D451"/>
  <c r="C451"/>
  <c r="B451"/>
  <c r="K450"/>
  <c r="I450"/>
  <c r="H450"/>
  <c r="G450"/>
  <c r="F450"/>
  <c r="E450"/>
  <c r="D450"/>
  <c r="C450"/>
  <c r="B450"/>
  <c r="D449"/>
  <c r="K447"/>
  <c r="I447"/>
  <c r="H447"/>
  <c r="G447"/>
  <c r="F447"/>
  <c r="E447"/>
  <c r="D447"/>
  <c r="C447"/>
  <c r="B447"/>
  <c r="K446"/>
  <c r="I446"/>
  <c r="H446"/>
  <c r="G446"/>
  <c r="F446"/>
  <c r="E446"/>
  <c r="D446"/>
  <c r="C446"/>
  <c r="B446"/>
  <c r="K445"/>
  <c r="I445"/>
  <c r="H445"/>
  <c r="G445"/>
  <c r="F445"/>
  <c r="E445"/>
  <c r="D445"/>
  <c r="C445"/>
  <c r="B445"/>
  <c r="K444"/>
  <c r="I444"/>
  <c r="H444"/>
  <c r="G444"/>
  <c r="F444"/>
  <c r="E444"/>
  <c r="D444"/>
  <c r="C444"/>
  <c r="B444"/>
  <c r="K443"/>
  <c r="I443"/>
  <c r="H443"/>
  <c r="G443"/>
  <c r="F443"/>
  <c r="E443"/>
  <c r="D443"/>
  <c r="C443"/>
  <c r="B443"/>
  <c r="K442"/>
  <c r="I442"/>
  <c r="H442"/>
  <c r="G442"/>
  <c r="F442"/>
  <c r="E442"/>
  <c r="D442"/>
  <c r="C442"/>
  <c r="B442"/>
  <c r="K441"/>
  <c r="I441"/>
  <c r="H441"/>
  <c r="G441"/>
  <c r="F441"/>
  <c r="E441"/>
  <c r="D441"/>
  <c r="C441"/>
  <c r="B441"/>
  <c r="K440"/>
  <c r="I440"/>
  <c r="H440"/>
  <c r="G440"/>
  <c r="F440"/>
  <c r="E440"/>
  <c r="D440"/>
  <c r="C440"/>
  <c r="B440"/>
  <c r="K439"/>
  <c r="I439"/>
  <c r="H439"/>
  <c r="G439"/>
  <c r="F439"/>
  <c r="E439"/>
  <c r="D439"/>
  <c r="C439"/>
  <c r="B439"/>
  <c r="K438"/>
  <c r="I438"/>
  <c r="H438"/>
  <c r="G438"/>
  <c r="F438"/>
  <c r="E438"/>
  <c r="D438"/>
  <c r="C438"/>
  <c r="B438"/>
  <c r="K437"/>
  <c r="I437"/>
  <c r="H437"/>
  <c r="G437"/>
  <c r="F437"/>
  <c r="E437"/>
  <c r="D437"/>
  <c r="C437"/>
  <c r="B437"/>
  <c r="K436"/>
  <c r="I436"/>
  <c r="H436"/>
  <c r="G436"/>
  <c r="F436"/>
  <c r="E436"/>
  <c r="D436"/>
  <c r="C436"/>
  <c r="B436"/>
  <c r="K435"/>
  <c r="I435"/>
  <c r="H435"/>
  <c r="G435"/>
  <c r="F435"/>
  <c r="E435"/>
  <c r="D435"/>
  <c r="C435"/>
  <c r="B435"/>
  <c r="K434"/>
  <c r="I434"/>
  <c r="H434"/>
  <c r="G434"/>
  <c r="F434"/>
  <c r="E434"/>
  <c r="D434"/>
  <c r="C434"/>
  <c r="B434"/>
  <c r="K433"/>
  <c r="I433"/>
  <c r="H433"/>
  <c r="G433"/>
  <c r="F433"/>
  <c r="E433"/>
  <c r="D433"/>
  <c r="C433"/>
  <c r="B433"/>
  <c r="K432"/>
  <c r="I432"/>
  <c r="H432"/>
  <c r="G432"/>
  <c r="F432"/>
  <c r="E432"/>
  <c r="D432"/>
  <c r="C432"/>
  <c r="B432"/>
  <c r="K431"/>
  <c r="I431"/>
  <c r="H431"/>
  <c r="G431"/>
  <c r="F431"/>
  <c r="E431"/>
  <c r="D431"/>
  <c r="C431"/>
  <c r="B431"/>
  <c r="K430"/>
  <c r="I430"/>
  <c r="H430"/>
  <c r="G430"/>
  <c r="F430"/>
  <c r="E430"/>
  <c r="D430"/>
  <c r="C430"/>
  <c r="B430"/>
  <c r="K429"/>
  <c r="I429"/>
  <c r="H429"/>
  <c r="G429"/>
  <c r="F429"/>
  <c r="E429"/>
  <c r="D429"/>
  <c r="C429"/>
  <c r="B429"/>
  <c r="K428"/>
  <c r="I428"/>
  <c r="H428"/>
  <c r="G428"/>
  <c r="F428"/>
  <c r="E428"/>
  <c r="D428"/>
  <c r="C428"/>
  <c r="B428"/>
  <c r="K427"/>
  <c r="I427"/>
  <c r="H427"/>
  <c r="G427"/>
  <c r="F427"/>
  <c r="E427"/>
  <c r="D427"/>
  <c r="C427"/>
  <c r="B427"/>
  <c r="K426"/>
  <c r="I426"/>
  <c r="H426"/>
  <c r="G426"/>
  <c r="F426"/>
  <c r="E426"/>
  <c r="D426"/>
  <c r="C426"/>
  <c r="B426"/>
  <c r="K425"/>
  <c r="I425"/>
  <c r="H425"/>
  <c r="G425"/>
  <c r="F425"/>
  <c r="E425"/>
  <c r="D425"/>
  <c r="C425"/>
  <c r="B425"/>
  <c r="K424"/>
  <c r="I424"/>
  <c r="H424"/>
  <c r="G424"/>
  <c r="F424"/>
  <c r="E424"/>
  <c r="D424"/>
  <c r="C424"/>
  <c r="B424"/>
  <c r="K423"/>
  <c r="I423"/>
  <c r="H423"/>
  <c r="G423"/>
  <c r="F423"/>
  <c r="E423"/>
  <c r="D423"/>
  <c r="C423"/>
  <c r="B423"/>
  <c r="D422"/>
  <c r="D420"/>
  <c r="K415"/>
  <c r="I415"/>
  <c r="H415"/>
  <c r="G415"/>
  <c r="F415"/>
  <c r="E415"/>
  <c r="D415"/>
  <c r="C415"/>
  <c r="B415"/>
  <c r="K414"/>
  <c r="I414"/>
  <c r="H414"/>
  <c r="G414"/>
  <c r="F414"/>
  <c r="E414"/>
  <c r="D414"/>
  <c r="C414"/>
  <c r="B414"/>
  <c r="K413"/>
  <c r="I413"/>
  <c r="H413"/>
  <c r="G413"/>
  <c r="F413"/>
  <c r="E413"/>
  <c r="D413"/>
  <c r="C413"/>
  <c r="B413"/>
  <c r="D411"/>
  <c r="K409"/>
  <c r="I409"/>
  <c r="I406" s="1"/>
  <c r="H409"/>
  <c r="G409"/>
  <c r="F409"/>
  <c r="E409"/>
  <c r="D409"/>
  <c r="C409"/>
  <c r="B409"/>
  <c r="K408"/>
  <c r="I408"/>
  <c r="H408"/>
  <c r="G408"/>
  <c r="F408"/>
  <c r="E408"/>
  <c r="D408"/>
  <c r="C408"/>
  <c r="B408"/>
  <c r="D406"/>
  <c r="K404"/>
  <c r="I404"/>
  <c r="H404"/>
  <c r="G404"/>
  <c r="F404"/>
  <c r="E404"/>
  <c r="D404"/>
  <c r="C404"/>
  <c r="B404"/>
  <c r="K403"/>
  <c r="I403"/>
  <c r="H403"/>
  <c r="G403"/>
  <c r="F403"/>
  <c r="E403"/>
  <c r="D403"/>
  <c r="C403"/>
  <c r="B403"/>
  <c r="K402"/>
  <c r="I402"/>
  <c r="H402"/>
  <c r="G402"/>
  <c r="F402"/>
  <c r="E402"/>
  <c r="D402"/>
  <c r="C402"/>
  <c r="B402"/>
  <c r="K401"/>
  <c r="I401"/>
  <c r="H401"/>
  <c r="G401"/>
  <c r="F401"/>
  <c r="E401"/>
  <c r="D401"/>
  <c r="C401"/>
  <c r="B401"/>
  <c r="K400"/>
  <c r="I400"/>
  <c r="H400"/>
  <c r="G400"/>
  <c r="F400"/>
  <c r="E400"/>
  <c r="D400"/>
  <c r="C400"/>
  <c r="B400"/>
  <c r="K399"/>
  <c r="I399"/>
  <c r="H399"/>
  <c r="G399"/>
  <c r="F399"/>
  <c r="E399"/>
  <c r="D399"/>
  <c r="C399"/>
  <c r="B399"/>
  <c r="K398"/>
  <c r="I398"/>
  <c r="H398"/>
  <c r="G398"/>
  <c r="F398"/>
  <c r="E398"/>
  <c r="D398"/>
  <c r="C398"/>
  <c r="B398"/>
  <c r="K397"/>
  <c r="I397"/>
  <c r="H397"/>
  <c r="G397"/>
  <c r="F397"/>
  <c r="E397"/>
  <c r="D397"/>
  <c r="C397"/>
  <c r="B397"/>
  <c r="K396"/>
  <c r="I396"/>
  <c r="H396"/>
  <c r="G396"/>
  <c r="F396"/>
  <c r="E396"/>
  <c r="D396"/>
  <c r="C396"/>
  <c r="B396"/>
  <c r="K395"/>
  <c r="I395"/>
  <c r="H395"/>
  <c r="G395"/>
  <c r="F395"/>
  <c r="E395"/>
  <c r="D395"/>
  <c r="C395"/>
  <c r="B395"/>
  <c r="D393"/>
  <c r="K391"/>
  <c r="I391"/>
  <c r="H391"/>
  <c r="G391"/>
  <c r="F391"/>
  <c r="E391"/>
  <c r="D391"/>
  <c r="C391"/>
  <c r="B391"/>
  <c r="K390"/>
  <c r="I390"/>
  <c r="H390"/>
  <c r="G390"/>
  <c r="F390"/>
  <c r="E390"/>
  <c r="D390"/>
  <c r="C390"/>
  <c r="B390"/>
  <c r="K389"/>
  <c r="I389"/>
  <c r="H389"/>
  <c r="G389"/>
  <c r="F389"/>
  <c r="E389"/>
  <c r="D389"/>
  <c r="C389"/>
  <c r="B389"/>
  <c r="K388"/>
  <c r="I388"/>
  <c r="H388"/>
  <c r="G388"/>
  <c r="F388"/>
  <c r="E388"/>
  <c r="D388"/>
  <c r="C388"/>
  <c r="B388"/>
  <c r="K387"/>
  <c r="I387"/>
  <c r="H387"/>
  <c r="G387"/>
  <c r="F387"/>
  <c r="E387"/>
  <c r="D387"/>
  <c r="C387"/>
  <c r="B387"/>
  <c r="K386"/>
  <c r="I386"/>
  <c r="H386"/>
  <c r="G386"/>
  <c r="F386"/>
  <c r="E386"/>
  <c r="D386"/>
  <c r="C386"/>
  <c r="B386"/>
  <c r="K385"/>
  <c r="I385"/>
  <c r="H385"/>
  <c r="G385"/>
  <c r="F385"/>
  <c r="E385"/>
  <c r="D385"/>
  <c r="C385"/>
  <c r="B385"/>
  <c r="D383"/>
  <c r="K381"/>
  <c r="I381"/>
  <c r="H381"/>
  <c r="G381"/>
  <c r="F381"/>
  <c r="E381"/>
  <c r="D381"/>
  <c r="C381"/>
  <c r="B381"/>
  <c r="K380"/>
  <c r="I380"/>
  <c r="H380"/>
  <c r="G380"/>
  <c r="F380"/>
  <c r="E380"/>
  <c r="D380"/>
  <c r="C380"/>
  <c r="B380"/>
  <c r="K379"/>
  <c r="I379"/>
  <c r="H379"/>
  <c r="G379"/>
  <c r="F379"/>
  <c r="E379"/>
  <c r="D379"/>
  <c r="C379"/>
  <c r="B379"/>
  <c r="K378"/>
  <c r="I378"/>
  <c r="H378"/>
  <c r="G378"/>
  <c r="F378"/>
  <c r="E378"/>
  <c r="D378"/>
  <c r="C378"/>
  <c r="B378"/>
  <c r="K377"/>
  <c r="I377"/>
  <c r="H377"/>
  <c r="G377"/>
  <c r="F377"/>
  <c r="E377"/>
  <c r="D377"/>
  <c r="C377"/>
  <c r="B377"/>
  <c r="K376"/>
  <c r="I376"/>
  <c r="H376"/>
  <c r="G376"/>
  <c r="F376"/>
  <c r="E376"/>
  <c r="D376"/>
  <c r="C376"/>
  <c r="B376"/>
  <c r="K375"/>
  <c r="I375"/>
  <c r="H375"/>
  <c r="G375"/>
  <c r="F375"/>
  <c r="E375"/>
  <c r="D375"/>
  <c r="C375"/>
  <c r="B375"/>
  <c r="D373"/>
  <c r="K371"/>
  <c r="I371"/>
  <c r="H371"/>
  <c r="G371"/>
  <c r="F371"/>
  <c r="E371"/>
  <c r="D371"/>
  <c r="C371"/>
  <c r="B371"/>
  <c r="K370"/>
  <c r="I370"/>
  <c r="H370"/>
  <c r="G370"/>
  <c r="F370"/>
  <c r="E370"/>
  <c r="D370"/>
  <c r="C370"/>
  <c r="B370"/>
  <c r="K369"/>
  <c r="I369"/>
  <c r="H369"/>
  <c r="G369"/>
  <c r="F369"/>
  <c r="E369"/>
  <c r="D369"/>
  <c r="C369"/>
  <c r="B369"/>
  <c r="K368"/>
  <c r="I368"/>
  <c r="H368"/>
  <c r="G368"/>
  <c r="F368"/>
  <c r="E368"/>
  <c r="D368"/>
  <c r="C368"/>
  <c r="B368"/>
  <c r="K367"/>
  <c r="I367"/>
  <c r="H367"/>
  <c r="G367"/>
  <c r="F367"/>
  <c r="E367"/>
  <c r="D367"/>
  <c r="C367"/>
  <c r="B367"/>
  <c r="K366"/>
  <c r="I366"/>
  <c r="H366"/>
  <c r="G366"/>
  <c r="F366"/>
  <c r="E366"/>
  <c r="D366"/>
  <c r="C366"/>
  <c r="B366"/>
  <c r="K365"/>
  <c r="I365"/>
  <c r="H365"/>
  <c r="G365"/>
  <c r="F365"/>
  <c r="E365"/>
  <c r="D365"/>
  <c r="C365"/>
  <c r="B365"/>
  <c r="D363"/>
  <c r="K361"/>
  <c r="I361"/>
  <c r="H361"/>
  <c r="G361"/>
  <c r="F361"/>
  <c r="E361"/>
  <c r="D361"/>
  <c r="C361"/>
  <c r="B361"/>
  <c r="K360"/>
  <c r="I360"/>
  <c r="H360"/>
  <c r="G360"/>
  <c r="F360"/>
  <c r="E360"/>
  <c r="D360"/>
  <c r="C360"/>
  <c r="B360"/>
  <c r="D358"/>
  <c r="K353"/>
  <c r="F353"/>
  <c r="E353"/>
  <c r="D353"/>
  <c r="C353"/>
  <c r="B353"/>
  <c r="K352"/>
  <c r="I352"/>
  <c r="H352"/>
  <c r="G352"/>
  <c r="F352"/>
  <c r="E352"/>
  <c r="D352"/>
  <c r="C352"/>
  <c r="B352"/>
  <c r="K351"/>
  <c r="F351"/>
  <c r="E351"/>
  <c r="D351"/>
  <c r="C351"/>
  <c r="B351"/>
  <c r="K350"/>
  <c r="I350"/>
  <c r="H350"/>
  <c r="G350"/>
  <c r="F350"/>
  <c r="E350"/>
  <c r="D350"/>
  <c r="C350"/>
  <c r="B350"/>
  <c r="K349"/>
  <c r="F349"/>
  <c r="E349"/>
  <c r="D349"/>
  <c r="C349"/>
  <c r="B349"/>
  <c r="K348"/>
  <c r="F348"/>
  <c r="E348"/>
  <c r="D348"/>
  <c r="C348"/>
  <c r="B348"/>
  <c r="K347"/>
  <c r="F347"/>
  <c r="E347"/>
  <c r="D347"/>
  <c r="C347"/>
  <c r="B347"/>
  <c r="D346"/>
  <c r="K344"/>
  <c r="I344"/>
  <c r="H344"/>
  <c r="G344"/>
  <c r="F344"/>
  <c r="E344"/>
  <c r="D344"/>
  <c r="C344"/>
  <c r="B344"/>
  <c r="D343"/>
  <c r="K341"/>
  <c r="F341"/>
  <c r="E341"/>
  <c r="D341"/>
  <c r="C341"/>
  <c r="B341"/>
  <c r="K340"/>
  <c r="F340"/>
  <c r="E340"/>
  <c r="D340"/>
  <c r="C340"/>
  <c r="B340"/>
  <c r="D339"/>
  <c r="K337"/>
  <c r="F337"/>
  <c r="E337"/>
  <c r="D337"/>
  <c r="C337"/>
  <c r="B337"/>
  <c r="K336"/>
  <c r="F336"/>
  <c r="E336"/>
  <c r="D336"/>
  <c r="C336"/>
  <c r="B336"/>
  <c r="K335"/>
  <c r="F335"/>
  <c r="E335"/>
  <c r="D335"/>
  <c r="C335"/>
  <c r="B335"/>
  <c r="K334"/>
  <c r="F334"/>
  <c r="E334"/>
  <c r="D334"/>
  <c r="C334"/>
  <c r="B334"/>
  <c r="K333"/>
  <c r="F333"/>
  <c r="E333"/>
  <c r="D333"/>
  <c r="C333"/>
  <c r="B333"/>
  <c r="K332"/>
  <c r="F332"/>
  <c r="E332"/>
  <c r="D332"/>
  <c r="C332"/>
  <c r="B332"/>
  <c r="K331"/>
  <c r="F331"/>
  <c r="E331"/>
  <c r="D331"/>
  <c r="C331"/>
  <c r="B331"/>
  <c r="K330"/>
  <c r="F330"/>
  <c r="E330"/>
  <c r="D330"/>
  <c r="C330"/>
  <c r="B330"/>
  <c r="K329"/>
  <c r="F329"/>
  <c r="E329"/>
  <c r="D329"/>
  <c r="C329"/>
  <c r="B329"/>
  <c r="K328"/>
  <c r="F328"/>
  <c r="E328"/>
  <c r="D328"/>
  <c r="C328"/>
  <c r="B328"/>
  <c r="K327"/>
  <c r="I327"/>
  <c r="H327"/>
  <c r="G327"/>
  <c r="F327"/>
  <c r="E327"/>
  <c r="D327"/>
  <c r="C327"/>
  <c r="B327"/>
  <c r="K326"/>
  <c r="I326"/>
  <c r="H326"/>
  <c r="G326"/>
  <c r="F326"/>
  <c r="E326"/>
  <c r="D326"/>
  <c r="C326"/>
  <c r="B326"/>
  <c r="D325"/>
  <c r="K323"/>
  <c r="I323"/>
  <c r="H323"/>
  <c r="G323"/>
  <c r="F323"/>
  <c r="E323"/>
  <c r="D323"/>
  <c r="C323"/>
  <c r="B323"/>
  <c r="D322"/>
  <c r="D320"/>
  <c r="K317"/>
  <c r="F317"/>
  <c r="E317"/>
  <c r="D317"/>
  <c r="C317"/>
  <c r="B317"/>
  <c r="K316"/>
  <c r="F316"/>
  <c r="E316"/>
  <c r="D316"/>
  <c r="C316"/>
  <c r="B316"/>
  <c r="D315"/>
  <c r="K313"/>
  <c r="I313"/>
  <c r="H313"/>
  <c r="G313"/>
  <c r="F313"/>
  <c r="E313"/>
  <c r="D313"/>
  <c r="C313"/>
  <c r="B313"/>
  <c r="K312"/>
  <c r="I312"/>
  <c r="H312"/>
  <c r="G312"/>
  <c r="F312"/>
  <c r="E312"/>
  <c r="D312"/>
  <c r="C312"/>
  <c r="B312"/>
  <c r="K311"/>
  <c r="I311"/>
  <c r="H311"/>
  <c r="G311"/>
  <c r="F311"/>
  <c r="E311"/>
  <c r="D311"/>
  <c r="C311"/>
  <c r="B311"/>
  <c r="K310"/>
  <c r="I310"/>
  <c r="H310"/>
  <c r="G310"/>
  <c r="F310"/>
  <c r="E310"/>
  <c r="D310"/>
  <c r="C310"/>
  <c r="B310"/>
  <c r="K309"/>
  <c r="I309"/>
  <c r="H309"/>
  <c r="G309"/>
  <c r="F309"/>
  <c r="E309"/>
  <c r="D309"/>
  <c r="C309"/>
  <c r="B309"/>
  <c r="K308"/>
  <c r="I308"/>
  <c r="H308"/>
  <c r="G308"/>
  <c r="F308"/>
  <c r="E308"/>
  <c r="D308"/>
  <c r="C308"/>
  <c r="B308"/>
  <c r="D307"/>
  <c r="K305"/>
  <c r="I305"/>
  <c r="H305"/>
  <c r="G305"/>
  <c r="F305"/>
  <c r="E305"/>
  <c r="D305"/>
  <c r="C305"/>
  <c r="B305"/>
  <c r="K304"/>
  <c r="I304"/>
  <c r="H304"/>
  <c r="G304"/>
  <c r="F304"/>
  <c r="E304"/>
  <c r="D304"/>
  <c r="C304"/>
  <c r="B304"/>
  <c r="K303"/>
  <c r="I303"/>
  <c r="H303"/>
  <c r="G303"/>
  <c r="F303"/>
  <c r="E303"/>
  <c r="D303"/>
  <c r="C303"/>
  <c r="B303"/>
  <c r="K302"/>
  <c r="I302"/>
  <c r="H302"/>
  <c r="G302"/>
  <c r="F302"/>
  <c r="E302"/>
  <c r="D302"/>
  <c r="C302"/>
  <c r="B302"/>
  <c r="K301"/>
  <c r="I301"/>
  <c r="H301"/>
  <c r="G301"/>
  <c r="F301"/>
  <c r="E301"/>
  <c r="D301"/>
  <c r="C301"/>
  <c r="B301"/>
  <c r="D300"/>
  <c r="K298"/>
  <c r="F298"/>
  <c r="E298"/>
  <c r="D298"/>
  <c r="C298"/>
  <c r="B298"/>
  <c r="K297"/>
  <c r="F297"/>
  <c r="E297"/>
  <c r="D297"/>
  <c r="C297"/>
  <c r="B297"/>
  <c r="K296"/>
  <c r="F296"/>
  <c r="E296"/>
  <c r="D296"/>
  <c r="C296"/>
  <c r="B296"/>
  <c r="K295"/>
  <c r="F295"/>
  <c r="E295"/>
  <c r="D295"/>
  <c r="C295"/>
  <c r="B295"/>
  <c r="K294"/>
  <c r="F294"/>
  <c r="E294"/>
  <c r="D294"/>
  <c r="C294"/>
  <c r="B294"/>
  <c r="K293"/>
  <c r="F293"/>
  <c r="E293"/>
  <c r="D293"/>
  <c r="C293"/>
  <c r="B293"/>
  <c r="K292"/>
  <c r="F292"/>
  <c r="E292"/>
  <c r="D292"/>
  <c r="C292"/>
  <c r="B292"/>
  <c r="K291"/>
  <c r="F291"/>
  <c r="E291"/>
  <c r="D291"/>
  <c r="C291"/>
  <c r="B291"/>
  <c r="K290"/>
  <c r="F290"/>
  <c r="E290"/>
  <c r="D290"/>
  <c r="C290"/>
  <c r="B290"/>
  <c r="K289"/>
  <c r="F289"/>
  <c r="E289"/>
  <c r="D289"/>
  <c r="C289"/>
  <c r="B289"/>
  <c r="K288"/>
  <c r="F288"/>
  <c r="E288"/>
  <c r="D288"/>
  <c r="C288"/>
  <c r="B288"/>
  <c r="K287"/>
  <c r="F287"/>
  <c r="E287"/>
  <c r="D287"/>
  <c r="C287"/>
  <c r="B287"/>
  <c r="K286"/>
  <c r="F286"/>
  <c r="E286"/>
  <c r="D286"/>
  <c r="C286"/>
  <c r="B286"/>
  <c r="K285"/>
  <c r="F285"/>
  <c r="E285"/>
  <c r="D285"/>
  <c r="C285"/>
  <c r="B285"/>
  <c r="K284"/>
  <c r="F284"/>
  <c r="E284"/>
  <c r="D284"/>
  <c r="C284"/>
  <c r="B284"/>
  <c r="D283"/>
  <c r="K281"/>
  <c r="F281"/>
  <c r="E281"/>
  <c r="D281"/>
  <c r="C281"/>
  <c r="B281"/>
  <c r="K280"/>
  <c r="F280"/>
  <c r="E280"/>
  <c r="D280"/>
  <c r="C280"/>
  <c r="B280"/>
  <c r="K279"/>
  <c r="F279"/>
  <c r="E279"/>
  <c r="D279"/>
  <c r="C279"/>
  <c r="B279"/>
  <c r="K278"/>
  <c r="F278"/>
  <c r="E278"/>
  <c r="D278"/>
  <c r="C278"/>
  <c r="B278"/>
  <c r="K277"/>
  <c r="F277"/>
  <c r="E277"/>
  <c r="D277"/>
  <c r="C277"/>
  <c r="B277"/>
  <c r="K276"/>
  <c r="F276"/>
  <c r="E276"/>
  <c r="D276"/>
  <c r="C276"/>
  <c r="B276"/>
  <c r="K275"/>
  <c r="F275"/>
  <c r="E275"/>
  <c r="D275"/>
  <c r="C275"/>
  <c r="B275"/>
  <c r="K274"/>
  <c r="F274"/>
  <c r="E274"/>
  <c r="D274"/>
  <c r="C274"/>
  <c r="B274"/>
  <c r="K273"/>
  <c r="F273"/>
  <c r="E273"/>
  <c r="D273"/>
  <c r="C273"/>
  <c r="B273"/>
  <c r="K272"/>
  <c r="F272"/>
  <c r="E272"/>
  <c r="D272"/>
  <c r="C272"/>
  <c r="B272"/>
  <c r="D271"/>
  <c r="D269"/>
  <c r="K267"/>
  <c r="F267"/>
  <c r="E267"/>
  <c r="D267"/>
  <c r="C267"/>
  <c r="B267"/>
  <c r="D265"/>
  <c r="K263"/>
  <c r="I263"/>
  <c r="H263"/>
  <c r="G263"/>
  <c r="F263"/>
  <c r="E263"/>
  <c r="D263"/>
  <c r="C263"/>
  <c r="B263"/>
  <c r="K262"/>
  <c r="I262"/>
  <c r="H262"/>
  <c r="G262"/>
  <c r="F262"/>
  <c r="E262"/>
  <c r="D262"/>
  <c r="C262"/>
  <c r="B262"/>
  <c r="K261"/>
  <c r="I261"/>
  <c r="H261"/>
  <c r="G261"/>
  <c r="F261"/>
  <c r="E261"/>
  <c r="D261"/>
  <c r="C261"/>
  <c r="B261"/>
  <c r="K260"/>
  <c r="I260"/>
  <c r="H260"/>
  <c r="G260"/>
  <c r="F260"/>
  <c r="E260"/>
  <c r="D260"/>
  <c r="C260"/>
  <c r="B260"/>
  <c r="K259"/>
  <c r="I259"/>
  <c r="H259"/>
  <c r="G259"/>
  <c r="F259"/>
  <c r="E259"/>
  <c r="D259"/>
  <c r="C259"/>
  <c r="B259"/>
  <c r="K258"/>
  <c r="I258"/>
  <c r="H258"/>
  <c r="G258"/>
  <c r="F258"/>
  <c r="E258"/>
  <c r="D258"/>
  <c r="C258"/>
  <c r="B258"/>
  <c r="K257"/>
  <c r="I257"/>
  <c r="H257"/>
  <c r="G257"/>
  <c r="F257"/>
  <c r="E257"/>
  <c r="D257"/>
  <c r="C257"/>
  <c r="B257"/>
  <c r="K256"/>
  <c r="I256"/>
  <c r="H256"/>
  <c r="G256"/>
  <c r="F256"/>
  <c r="E256"/>
  <c r="D256"/>
  <c r="C256"/>
  <c r="B256"/>
  <c r="K255"/>
  <c r="I255"/>
  <c r="H255"/>
  <c r="G255"/>
  <c r="F255"/>
  <c r="E255"/>
  <c r="D255"/>
  <c r="C255"/>
  <c r="B255"/>
  <c r="K254"/>
  <c r="I254"/>
  <c r="H254"/>
  <c r="G254"/>
  <c r="F254"/>
  <c r="E254"/>
  <c r="D254"/>
  <c r="C254"/>
  <c r="B254"/>
  <c r="K253"/>
  <c r="I253"/>
  <c r="H253"/>
  <c r="G253"/>
  <c r="F253"/>
  <c r="E253"/>
  <c r="D253"/>
  <c r="C253"/>
  <c r="B253"/>
  <c r="K252"/>
  <c r="I252"/>
  <c r="H252"/>
  <c r="G252"/>
  <c r="F252"/>
  <c r="E252"/>
  <c r="D252"/>
  <c r="C252"/>
  <c r="B252"/>
  <c r="K251"/>
  <c r="I251"/>
  <c r="H251"/>
  <c r="G251"/>
  <c r="F251"/>
  <c r="E251"/>
  <c r="D251"/>
  <c r="C251"/>
  <c r="B251"/>
  <c r="K250"/>
  <c r="I250"/>
  <c r="H250"/>
  <c r="G250"/>
  <c r="F250"/>
  <c r="E250"/>
  <c r="D250"/>
  <c r="C250"/>
  <c r="B250"/>
  <c r="K249"/>
  <c r="I249"/>
  <c r="H249"/>
  <c r="G249"/>
  <c r="F249"/>
  <c r="E249"/>
  <c r="D249"/>
  <c r="C249"/>
  <c r="B249"/>
  <c r="K248"/>
  <c r="I248"/>
  <c r="H248"/>
  <c r="G248"/>
  <c r="F248"/>
  <c r="E248"/>
  <c r="D248"/>
  <c r="C248"/>
  <c r="B248"/>
  <c r="K247"/>
  <c r="I247"/>
  <c r="H247"/>
  <c r="G247"/>
  <c r="F247"/>
  <c r="E247"/>
  <c r="D247"/>
  <c r="C247"/>
  <c r="B247"/>
  <c r="D245"/>
  <c r="K243"/>
  <c r="I243"/>
  <c r="H243"/>
  <c r="G243"/>
  <c r="F243"/>
  <c r="E243"/>
  <c r="D243"/>
  <c r="C243"/>
  <c r="B243"/>
  <c r="K242"/>
  <c r="I242"/>
  <c r="H242"/>
  <c r="G242"/>
  <c r="F242"/>
  <c r="E242"/>
  <c r="D242"/>
  <c r="C242"/>
  <c r="B242"/>
  <c r="K241"/>
  <c r="I241"/>
  <c r="H241"/>
  <c r="G241"/>
  <c r="F241"/>
  <c r="E241"/>
  <c r="D241"/>
  <c r="C241"/>
  <c r="B241"/>
  <c r="K240"/>
  <c r="I240"/>
  <c r="H240"/>
  <c r="G240"/>
  <c r="F240"/>
  <c r="E240"/>
  <c r="D240"/>
  <c r="C240"/>
  <c r="B240"/>
  <c r="K239"/>
  <c r="I239"/>
  <c r="H239"/>
  <c r="G239"/>
  <c r="F239"/>
  <c r="E239"/>
  <c r="D239"/>
  <c r="C239"/>
  <c r="B239"/>
  <c r="D237"/>
  <c r="K235"/>
  <c r="F235"/>
  <c r="E235"/>
  <c r="D235"/>
  <c r="C235"/>
  <c r="B235"/>
  <c r="K234"/>
  <c r="F234"/>
  <c r="E234"/>
  <c r="D234"/>
  <c r="C234"/>
  <c r="B234"/>
  <c r="D232"/>
  <c r="K230"/>
  <c r="F230"/>
  <c r="E230"/>
  <c r="D230"/>
  <c r="C230"/>
  <c r="B230"/>
  <c r="K229"/>
  <c r="F229"/>
  <c r="E229"/>
  <c r="D229"/>
  <c r="C229"/>
  <c r="B229"/>
  <c r="D227"/>
  <c r="K225"/>
  <c r="I225"/>
  <c r="H225"/>
  <c r="G225"/>
  <c r="F225"/>
  <c r="E225"/>
  <c r="D225"/>
  <c r="C225"/>
  <c r="B225"/>
  <c r="D223"/>
  <c r="K221"/>
  <c r="F221"/>
  <c r="E221"/>
  <c r="D221"/>
  <c r="C221"/>
  <c r="B221"/>
  <c r="K220"/>
  <c r="F220"/>
  <c r="E220"/>
  <c r="D220"/>
  <c r="C220"/>
  <c r="B220"/>
  <c r="K219"/>
  <c r="I219"/>
  <c r="H219"/>
  <c r="G219"/>
  <c r="F219"/>
  <c r="E219"/>
  <c r="D219"/>
  <c r="C219"/>
  <c r="B219"/>
  <c r="K218"/>
  <c r="I218"/>
  <c r="H218"/>
  <c r="G218"/>
  <c r="F218"/>
  <c r="E218"/>
  <c r="D218"/>
  <c r="C218"/>
  <c r="B218"/>
  <c r="K217"/>
  <c r="F217"/>
  <c r="E217"/>
  <c r="D217"/>
  <c r="C217"/>
  <c r="B217"/>
  <c r="K216"/>
  <c r="F216"/>
  <c r="E216"/>
  <c r="D216"/>
  <c r="C216"/>
  <c r="B216"/>
  <c r="K215"/>
  <c r="F215"/>
  <c r="E215"/>
  <c r="D215"/>
  <c r="C215"/>
  <c r="B215"/>
  <c r="D213"/>
  <c r="K211"/>
  <c r="I211"/>
  <c r="H211"/>
  <c r="G211"/>
  <c r="F211"/>
  <c r="E211"/>
  <c r="D211"/>
  <c r="C211"/>
  <c r="B211"/>
  <c r="K210"/>
  <c r="F210"/>
  <c r="E210"/>
  <c r="D210"/>
  <c r="C210"/>
  <c r="B210"/>
  <c r="K209"/>
  <c r="I209"/>
  <c r="H209"/>
  <c r="G209"/>
  <c r="F209"/>
  <c r="E209"/>
  <c r="D209"/>
  <c r="C209"/>
  <c r="B209"/>
  <c r="K208"/>
  <c r="F208"/>
  <c r="E208"/>
  <c r="D208"/>
  <c r="C208"/>
  <c r="B208"/>
  <c r="D206"/>
  <c r="K204"/>
  <c r="F204"/>
  <c r="E204"/>
  <c r="D204"/>
  <c r="C204"/>
  <c r="B204"/>
  <c r="K203"/>
  <c r="F203"/>
  <c r="E203"/>
  <c r="D203"/>
  <c r="C203"/>
  <c r="B203"/>
  <c r="K202"/>
  <c r="F202"/>
  <c r="E202"/>
  <c r="D202"/>
  <c r="C202"/>
  <c r="B202"/>
  <c r="K201"/>
  <c r="F201"/>
  <c r="E201"/>
  <c r="D201"/>
  <c r="C201"/>
  <c r="B201"/>
  <c r="K200"/>
  <c r="F200"/>
  <c r="E200"/>
  <c r="D200"/>
  <c r="C200"/>
  <c r="B200"/>
  <c r="K199"/>
  <c r="F199"/>
  <c r="E199"/>
  <c r="D199"/>
  <c r="C199"/>
  <c r="B199"/>
  <c r="K198"/>
  <c r="F198"/>
  <c r="E198"/>
  <c r="D198"/>
  <c r="C198"/>
  <c r="B198"/>
  <c r="K197"/>
  <c r="F197"/>
  <c r="E197"/>
  <c r="D197"/>
  <c r="C197"/>
  <c r="B197"/>
  <c r="K196"/>
  <c r="F196"/>
  <c r="E196"/>
  <c r="D196"/>
  <c r="C196"/>
  <c r="B196"/>
  <c r="K195"/>
  <c r="F195"/>
  <c r="E195"/>
  <c r="D195"/>
  <c r="C195"/>
  <c r="B195"/>
  <c r="K194"/>
  <c r="F194"/>
  <c r="E194"/>
  <c r="D194"/>
  <c r="C194"/>
  <c r="B194"/>
  <c r="D192"/>
  <c r="K190"/>
  <c r="I190"/>
  <c r="H190"/>
  <c r="G190"/>
  <c r="F190"/>
  <c r="E190"/>
  <c r="D190"/>
  <c r="C190"/>
  <c r="B190"/>
  <c r="K189"/>
  <c r="F189"/>
  <c r="E189"/>
  <c r="D189"/>
  <c r="C189"/>
  <c r="B189"/>
  <c r="K188"/>
  <c r="F188"/>
  <c r="E188"/>
  <c r="D188"/>
  <c r="C188"/>
  <c r="B188"/>
  <c r="K187"/>
  <c r="F187"/>
  <c r="E187"/>
  <c r="D187"/>
  <c r="C187"/>
  <c r="B187"/>
  <c r="K186"/>
  <c r="I186"/>
  <c r="H186"/>
  <c r="G186"/>
  <c r="F186"/>
  <c r="E186"/>
  <c r="D186"/>
  <c r="C186"/>
  <c r="B186"/>
  <c r="K185"/>
  <c r="F185"/>
  <c r="E185"/>
  <c r="D185"/>
  <c r="C185"/>
  <c r="B185"/>
  <c r="K184"/>
  <c r="F184"/>
  <c r="E184"/>
  <c r="D184"/>
  <c r="C184"/>
  <c r="B184"/>
  <c r="K183"/>
  <c r="F183"/>
  <c r="E183"/>
  <c r="D183"/>
  <c r="C183"/>
  <c r="B183"/>
  <c r="K182"/>
  <c r="F182"/>
  <c r="E182"/>
  <c r="D182"/>
  <c r="C182"/>
  <c r="B182"/>
  <c r="K181"/>
  <c r="F181"/>
  <c r="E181"/>
  <c r="D181"/>
  <c r="C181"/>
  <c r="B181"/>
  <c r="K180"/>
  <c r="F180"/>
  <c r="E180"/>
  <c r="D180"/>
  <c r="C180"/>
  <c r="B180"/>
  <c r="K179"/>
  <c r="F179"/>
  <c r="E179"/>
  <c r="D179"/>
  <c r="C179"/>
  <c r="B179"/>
  <c r="K178"/>
  <c r="F178"/>
  <c r="E178"/>
  <c r="D178"/>
  <c r="C178"/>
  <c r="B178"/>
  <c r="D176"/>
  <c r="K174"/>
  <c r="F174"/>
  <c r="E174"/>
  <c r="D174"/>
  <c r="C174"/>
  <c r="B174"/>
  <c r="K173"/>
  <c r="F173"/>
  <c r="E173"/>
  <c r="D173"/>
  <c r="C173"/>
  <c r="B173"/>
  <c r="K172"/>
  <c r="F172"/>
  <c r="E172"/>
  <c r="D172"/>
  <c r="C172"/>
  <c r="B172"/>
  <c r="K171"/>
  <c r="F171"/>
  <c r="E171"/>
  <c r="D171"/>
  <c r="C171"/>
  <c r="B171"/>
  <c r="K170"/>
  <c r="F170"/>
  <c r="E170"/>
  <c r="D170"/>
  <c r="C170"/>
  <c r="B170"/>
  <c r="D168"/>
  <c r="K166"/>
  <c r="F166"/>
  <c r="E166"/>
  <c r="D166"/>
  <c r="C166"/>
  <c r="B166"/>
  <c r="K165"/>
  <c r="F165"/>
  <c r="E165"/>
  <c r="D165"/>
  <c r="C165"/>
  <c r="B165"/>
  <c r="K164"/>
  <c r="F164"/>
  <c r="E164"/>
  <c r="D164"/>
  <c r="C164"/>
  <c r="B164"/>
  <c r="K163"/>
  <c r="F163"/>
  <c r="E163"/>
  <c r="D163"/>
  <c r="C163"/>
  <c r="B163"/>
  <c r="K162"/>
  <c r="F162"/>
  <c r="E162"/>
  <c r="D162"/>
  <c r="C162"/>
  <c r="B162"/>
  <c r="K161"/>
  <c r="F161"/>
  <c r="E161"/>
  <c r="D161"/>
  <c r="C161"/>
  <c r="B161"/>
  <c r="K160"/>
  <c r="I160"/>
  <c r="H160"/>
  <c r="G160"/>
  <c r="F160"/>
  <c r="E160"/>
  <c r="D160"/>
  <c r="C160"/>
  <c r="B160"/>
  <c r="K159"/>
  <c r="I159"/>
  <c r="H159"/>
  <c r="G159"/>
  <c r="F159"/>
  <c r="E159"/>
  <c r="D159"/>
  <c r="C159"/>
  <c r="B159"/>
  <c r="K158"/>
  <c r="F158"/>
  <c r="E158"/>
  <c r="D158"/>
  <c r="C158"/>
  <c r="B158"/>
  <c r="K157"/>
  <c r="F157"/>
  <c r="E157"/>
  <c r="D157"/>
  <c r="C157"/>
  <c r="B157"/>
  <c r="D156"/>
  <c r="K154"/>
  <c r="F154"/>
  <c r="E154"/>
  <c r="D154"/>
  <c r="C154"/>
  <c r="B154"/>
  <c r="K153"/>
  <c r="F153"/>
  <c r="E153"/>
  <c r="D153"/>
  <c r="C153"/>
  <c r="B153"/>
  <c r="D152"/>
  <c r="D150"/>
  <c r="K148"/>
  <c r="F148"/>
  <c r="E148"/>
  <c r="D148"/>
  <c r="C148"/>
  <c r="B148"/>
  <c r="K147"/>
  <c r="F147"/>
  <c r="E147"/>
  <c r="D147"/>
  <c r="C147"/>
  <c r="B147"/>
  <c r="K146"/>
  <c r="F146"/>
  <c r="E146"/>
  <c r="D146"/>
  <c r="C146"/>
  <c r="B146"/>
  <c r="K145"/>
  <c r="F145"/>
  <c r="E145"/>
  <c r="D145"/>
  <c r="C145"/>
  <c r="B145"/>
  <c r="K144"/>
  <c r="F144"/>
  <c r="E144"/>
  <c r="D144"/>
  <c r="C144"/>
  <c r="B144"/>
  <c r="K143"/>
  <c r="F143"/>
  <c r="E143"/>
  <c r="D143"/>
  <c r="C143"/>
  <c r="B143"/>
  <c r="K142"/>
  <c r="F142"/>
  <c r="E142"/>
  <c r="D142"/>
  <c r="C142"/>
  <c r="B142"/>
  <c r="K141"/>
  <c r="F141"/>
  <c r="E141"/>
  <c r="D141"/>
  <c r="C141"/>
  <c r="B141"/>
  <c r="D140"/>
  <c r="K138"/>
  <c r="I138"/>
  <c r="H138"/>
  <c r="G138"/>
  <c r="F138"/>
  <c r="E138"/>
  <c r="D138"/>
  <c r="C138"/>
  <c r="B138"/>
  <c r="D137"/>
  <c r="K135"/>
  <c r="I135"/>
  <c r="H135"/>
  <c r="G135"/>
  <c r="F135"/>
  <c r="E135"/>
  <c r="D135"/>
  <c r="C135"/>
  <c r="B135"/>
  <c r="D134"/>
  <c r="K132"/>
  <c r="I132"/>
  <c r="H132"/>
  <c r="G132"/>
  <c r="F132"/>
  <c r="E132"/>
  <c r="D132"/>
  <c r="C132"/>
  <c r="B132"/>
  <c r="D131"/>
  <c r="D129"/>
  <c r="K127"/>
  <c r="F127"/>
  <c r="E127"/>
  <c r="D127"/>
  <c r="C127"/>
  <c r="B127"/>
  <c r="K126"/>
  <c r="F126"/>
  <c r="E126"/>
  <c r="D126"/>
  <c r="C126"/>
  <c r="B126"/>
  <c r="K125"/>
  <c r="F125"/>
  <c r="E125"/>
  <c r="D125"/>
  <c r="C125"/>
  <c r="B125"/>
  <c r="K124"/>
  <c r="I124"/>
  <c r="H124"/>
  <c r="G124"/>
  <c r="F124"/>
  <c r="E124"/>
  <c r="D124"/>
  <c r="C124"/>
  <c r="B124"/>
  <c r="K123"/>
  <c r="I123"/>
  <c r="H123"/>
  <c r="G123"/>
  <c r="F123"/>
  <c r="E123"/>
  <c r="D123"/>
  <c r="C123"/>
  <c r="B123"/>
  <c r="K122"/>
  <c r="F122"/>
  <c r="E122"/>
  <c r="D122"/>
  <c r="C122"/>
  <c r="B122"/>
  <c r="K121"/>
  <c r="F121"/>
  <c r="E121"/>
  <c r="D121"/>
  <c r="C121"/>
  <c r="B121"/>
  <c r="D120"/>
  <c r="K118"/>
  <c r="I118"/>
  <c r="H118"/>
  <c r="G118"/>
  <c r="F118"/>
  <c r="E118"/>
  <c r="D118"/>
  <c r="C118"/>
  <c r="B118"/>
  <c r="D117"/>
  <c r="D115"/>
  <c r="D113"/>
  <c r="K111"/>
  <c r="F111"/>
  <c r="E111"/>
  <c r="D111"/>
  <c r="C111"/>
  <c r="B111"/>
  <c r="K110"/>
  <c r="F110"/>
  <c r="E110"/>
  <c r="D110"/>
  <c r="C110"/>
  <c r="B110"/>
  <c r="D109"/>
  <c r="K107"/>
  <c r="F107"/>
  <c r="E107"/>
  <c r="D107"/>
  <c r="C107"/>
  <c r="B107"/>
  <c r="K106"/>
  <c r="F106"/>
  <c r="E106"/>
  <c r="D106"/>
  <c r="C106"/>
  <c r="B106"/>
  <c r="K105"/>
  <c r="F105"/>
  <c r="E105"/>
  <c r="D105"/>
  <c r="C105"/>
  <c r="B105"/>
  <c r="D104"/>
  <c r="K102"/>
  <c r="I102"/>
  <c r="H102"/>
  <c r="G102"/>
  <c r="F102"/>
  <c r="E102"/>
  <c r="D102"/>
  <c r="C102"/>
  <c r="B102"/>
  <c r="K101"/>
  <c r="I101"/>
  <c r="H101"/>
  <c r="G101"/>
  <c r="F101"/>
  <c r="E101"/>
  <c r="D101"/>
  <c r="C101"/>
  <c r="B101"/>
  <c r="K100"/>
  <c r="F100"/>
  <c r="E100"/>
  <c r="D100"/>
  <c r="C100"/>
  <c r="B100"/>
  <c r="D99"/>
  <c r="K97"/>
  <c r="F97"/>
  <c r="E97"/>
  <c r="D97"/>
  <c r="C97"/>
  <c r="B97"/>
  <c r="D96"/>
  <c r="D94"/>
  <c r="K92"/>
  <c r="F92"/>
  <c r="E92"/>
  <c r="D92"/>
  <c r="C92"/>
  <c r="B92"/>
  <c r="D91"/>
  <c r="K89"/>
  <c r="F89"/>
  <c r="E89"/>
  <c r="D89"/>
  <c r="C89"/>
  <c r="B89"/>
  <c r="K88"/>
  <c r="F88"/>
  <c r="E88"/>
  <c r="D88"/>
  <c r="C88"/>
  <c r="B88"/>
  <c r="K87"/>
  <c r="I87"/>
  <c r="H87"/>
  <c r="G87"/>
  <c r="F87"/>
  <c r="E87"/>
  <c r="D87"/>
  <c r="C87"/>
  <c r="B87"/>
  <c r="K86"/>
  <c r="F86"/>
  <c r="E86"/>
  <c r="D86"/>
  <c r="C86"/>
  <c r="B86"/>
  <c r="K85"/>
  <c r="F85"/>
  <c r="E85"/>
  <c r="D85"/>
  <c r="C85"/>
  <c r="B85"/>
  <c r="K84"/>
  <c r="F84"/>
  <c r="E84"/>
  <c r="D84"/>
  <c r="C84"/>
  <c r="B84"/>
  <c r="D83"/>
  <c r="K81"/>
  <c r="F81"/>
  <c r="E81"/>
  <c r="D81"/>
  <c r="C81"/>
  <c r="B81"/>
  <c r="D80"/>
  <c r="K78"/>
  <c r="F78"/>
  <c r="E78"/>
  <c r="D78"/>
  <c r="C78"/>
  <c r="B78"/>
  <c r="K77"/>
  <c r="F77"/>
  <c r="E77"/>
  <c r="D77"/>
  <c r="C77"/>
  <c r="B77"/>
  <c r="K76"/>
  <c r="I76"/>
  <c r="H76"/>
  <c r="G76"/>
  <c r="F76"/>
  <c r="E76"/>
  <c r="D76"/>
  <c r="C76"/>
  <c r="B76"/>
  <c r="K75"/>
  <c r="I75"/>
  <c r="H75"/>
  <c r="G75"/>
  <c r="F75"/>
  <c r="E75"/>
  <c r="D75"/>
  <c r="C75"/>
  <c r="B75"/>
  <c r="D74"/>
  <c r="K72"/>
  <c r="F72"/>
  <c r="E72"/>
  <c r="D72"/>
  <c r="C72"/>
  <c r="B72"/>
  <c r="D71"/>
  <c r="K69"/>
  <c r="F69"/>
  <c r="E69"/>
  <c r="D69"/>
  <c r="C69"/>
  <c r="B69"/>
  <c r="K68"/>
  <c r="F68"/>
  <c r="E68"/>
  <c r="D68"/>
  <c r="C68"/>
  <c r="B68"/>
  <c r="D67"/>
  <c r="K65"/>
  <c r="I65"/>
  <c r="H65"/>
  <c r="G65"/>
  <c r="F65"/>
  <c r="E65"/>
  <c r="D65"/>
  <c r="C65"/>
  <c r="B65"/>
  <c r="K64"/>
  <c r="I64"/>
  <c r="H64"/>
  <c r="G64"/>
  <c r="F64"/>
  <c r="E64"/>
  <c r="D64"/>
  <c r="C64"/>
  <c r="B64"/>
  <c r="D63"/>
  <c r="K61"/>
  <c r="I61"/>
  <c r="H61"/>
  <c r="G61"/>
  <c r="F61"/>
  <c r="E61"/>
  <c r="D61"/>
  <c r="C61"/>
  <c r="B61"/>
  <c r="K60"/>
  <c r="I60"/>
  <c r="H60"/>
  <c r="G60"/>
  <c r="F60"/>
  <c r="E60"/>
  <c r="D60"/>
  <c r="C60"/>
  <c r="B60"/>
  <c r="K59"/>
  <c r="I59"/>
  <c r="H59"/>
  <c r="G59"/>
  <c r="F59"/>
  <c r="E59"/>
  <c r="D59"/>
  <c r="C59"/>
  <c r="B59"/>
  <c r="D58"/>
  <c r="K56"/>
  <c r="I56"/>
  <c r="H56"/>
  <c r="G56"/>
  <c r="F56"/>
  <c r="E56"/>
  <c r="D56"/>
  <c r="C56"/>
  <c r="B56"/>
  <c r="K55"/>
  <c r="I55"/>
  <c r="H55"/>
  <c r="G55"/>
  <c r="F55"/>
  <c r="E55"/>
  <c r="D55"/>
  <c r="C55"/>
  <c r="B55"/>
  <c r="D54"/>
  <c r="K52"/>
  <c r="I52"/>
  <c r="H52"/>
  <c r="G52"/>
  <c r="F52"/>
  <c r="E52"/>
  <c r="D52"/>
  <c r="C52"/>
  <c r="B52"/>
  <c r="K51"/>
  <c r="I51"/>
  <c r="H51"/>
  <c r="G51"/>
  <c r="F51"/>
  <c r="E51"/>
  <c r="D51"/>
  <c r="C51"/>
  <c r="B51"/>
  <c r="K50"/>
  <c r="I50"/>
  <c r="H50"/>
  <c r="G50"/>
  <c r="F50"/>
  <c r="E50"/>
  <c r="D50"/>
  <c r="C50"/>
  <c r="B50"/>
  <c r="K49"/>
  <c r="I49"/>
  <c r="H49"/>
  <c r="G49"/>
  <c r="F49"/>
  <c r="E49"/>
  <c r="D49"/>
  <c r="C49"/>
  <c r="B49"/>
  <c r="K48"/>
  <c r="I48"/>
  <c r="H48"/>
  <c r="G48"/>
  <c r="F48"/>
  <c r="E48"/>
  <c r="D48"/>
  <c r="C48"/>
  <c r="B48"/>
  <c r="K47"/>
  <c r="I47"/>
  <c r="H47"/>
  <c r="G47"/>
  <c r="F47"/>
  <c r="E47"/>
  <c r="D47"/>
  <c r="C47"/>
  <c r="B47"/>
  <c r="D46"/>
  <c r="D44"/>
  <c r="D42"/>
  <c r="K37"/>
  <c r="I37"/>
  <c r="I35" s="1"/>
  <c r="H37"/>
  <c r="G37"/>
  <c r="F37"/>
  <c r="E37"/>
  <c r="D37"/>
  <c r="C37"/>
  <c r="B37"/>
  <c r="D35"/>
  <c r="K33"/>
  <c r="I33"/>
  <c r="H33"/>
  <c r="G33"/>
  <c r="F33"/>
  <c r="E33"/>
  <c r="D33"/>
  <c r="C33"/>
  <c r="B33"/>
  <c r="K32"/>
  <c r="I32"/>
  <c r="H32"/>
  <c r="G32"/>
  <c r="F32"/>
  <c r="E32"/>
  <c r="D32"/>
  <c r="C32"/>
  <c r="B32"/>
  <c r="K31"/>
  <c r="I31"/>
  <c r="H31"/>
  <c r="G31"/>
  <c r="F31"/>
  <c r="E31"/>
  <c r="D31"/>
  <c r="C31"/>
  <c r="B31"/>
  <c r="K30"/>
  <c r="I30"/>
  <c r="H30"/>
  <c r="G30"/>
  <c r="F30"/>
  <c r="E30"/>
  <c r="D30"/>
  <c r="C30"/>
  <c r="B30"/>
  <c r="K29"/>
  <c r="I29"/>
  <c r="H29"/>
  <c r="G29"/>
  <c r="F29"/>
  <c r="E29"/>
  <c r="D29"/>
  <c r="C29"/>
  <c r="B29"/>
  <c r="D28"/>
  <c r="K26"/>
  <c r="I26"/>
  <c r="H26"/>
  <c r="G26"/>
  <c r="F26"/>
  <c r="E26"/>
  <c r="D26"/>
  <c r="C26"/>
  <c r="B26"/>
  <c r="K25"/>
  <c r="I25"/>
  <c r="H25"/>
  <c r="G25"/>
  <c r="F25"/>
  <c r="E25"/>
  <c r="D25"/>
  <c r="C25"/>
  <c r="B25"/>
  <c r="K24"/>
  <c r="I24"/>
  <c r="H24"/>
  <c r="G24"/>
  <c r="F24"/>
  <c r="E24"/>
  <c r="D24"/>
  <c r="C24"/>
  <c r="B24"/>
  <c r="D23"/>
  <c r="D21"/>
  <c r="K18"/>
  <c r="I18"/>
  <c r="H18"/>
  <c r="G18"/>
  <c r="F18"/>
  <c r="E18"/>
  <c r="D18"/>
  <c r="C18"/>
  <c r="B18"/>
  <c r="K17"/>
  <c r="I17"/>
  <c r="H17"/>
  <c r="G17"/>
  <c r="F17"/>
  <c r="E17"/>
  <c r="D17"/>
  <c r="C17"/>
  <c r="B17"/>
  <c r="K16"/>
  <c r="I16"/>
  <c r="H16"/>
  <c r="G16"/>
  <c r="F16"/>
  <c r="E16"/>
  <c r="D16"/>
  <c r="C16"/>
  <c r="B16"/>
  <c r="I14"/>
  <c r="D14"/>
  <c r="I363" l="1"/>
  <c r="I21"/>
  <c r="I358"/>
  <c r="I383"/>
  <c r="I373"/>
  <c r="I12"/>
  <c r="E772"/>
  <c r="I393"/>
  <c r="I420"/>
  <c r="I549"/>
  <c r="I411"/>
  <c r="I615"/>
  <c r="I663"/>
  <c r="I738"/>
  <c r="I495"/>
  <c r="I747"/>
  <c r="I712"/>
  <c r="E768" l="1"/>
  <c r="E773"/>
  <c r="I418"/>
  <c r="E776"/>
  <c r="I356"/>
  <c r="E775"/>
  <c r="I661"/>
  <c r="B23" i="4"/>
  <c r="B21"/>
  <c r="B19"/>
  <c r="B17"/>
  <c r="B15"/>
  <c r="B13"/>
  <c r="E771" i="5" l="1"/>
  <c r="E774"/>
  <c r="E770"/>
  <c r="B39" i="4" l="1"/>
  <c r="B37"/>
  <c r="B35"/>
  <c r="B33"/>
  <c r="B31"/>
  <c r="B29"/>
  <c r="B27"/>
  <c r="B25"/>
  <c r="B11"/>
  <c r="G107" i="5" l="1"/>
  <c r="H107" l="1"/>
  <c r="I107" l="1"/>
  <c r="G164" l="1"/>
  <c r="G162"/>
  <c r="H162" l="1"/>
  <c r="H164"/>
  <c r="G111"/>
  <c r="G110"/>
  <c r="G97"/>
  <c r="I164" l="1"/>
  <c r="I162"/>
  <c r="H111"/>
  <c r="H97"/>
  <c r="H110"/>
  <c r="I110" l="1"/>
  <c r="I97"/>
  <c r="I111"/>
  <c r="G200" l="1"/>
  <c r="G201" l="1"/>
  <c r="G204"/>
  <c r="H200"/>
  <c r="G199"/>
  <c r="G189"/>
  <c r="H204" l="1"/>
  <c r="H201"/>
  <c r="I200"/>
  <c r="H189"/>
  <c r="H199"/>
  <c r="G185"/>
  <c r="G183"/>
  <c r="G88"/>
  <c r="G84"/>
  <c r="G85"/>
  <c r="G86"/>
  <c r="G89"/>
  <c r="I204" l="1"/>
  <c r="I201"/>
  <c r="H88"/>
  <c r="I199"/>
  <c r="I189"/>
  <c r="H84"/>
  <c r="H86"/>
  <c r="H183"/>
  <c r="H89"/>
  <c r="H85"/>
  <c r="H185"/>
  <c r="G180"/>
  <c r="G182"/>
  <c r="I185" l="1"/>
  <c r="I183"/>
  <c r="I88"/>
  <c r="I86"/>
  <c r="I89"/>
  <c r="I85"/>
  <c r="I84"/>
  <c r="H182"/>
  <c r="H180"/>
  <c r="I182" l="1"/>
  <c r="I180"/>
  <c r="G77" l="1"/>
  <c r="G72"/>
  <c r="G69"/>
  <c r="G92" l="1"/>
  <c r="H72"/>
  <c r="H69"/>
  <c r="H77"/>
  <c r="G68"/>
  <c r="I72" l="1"/>
  <c r="I69"/>
  <c r="I77"/>
  <c r="H92"/>
  <c r="H68"/>
  <c r="I68" l="1"/>
  <c r="I92"/>
  <c r="G208" l="1"/>
  <c r="G349"/>
  <c r="G353"/>
  <c r="H353" l="1"/>
  <c r="H349"/>
  <c r="H208"/>
  <c r="I208" l="1"/>
  <c r="I349"/>
  <c r="I353"/>
  <c r="G330"/>
  <c r="G328"/>
  <c r="H328" l="1"/>
  <c r="H330"/>
  <c r="I330" l="1"/>
  <c r="I328"/>
  <c r="G317"/>
  <c r="H317" l="1"/>
  <c r="G316"/>
  <c r="G276"/>
  <c r="G275"/>
  <c r="I317" l="1"/>
  <c r="H276"/>
  <c r="H275"/>
  <c r="H316"/>
  <c r="I275" l="1"/>
  <c r="I276"/>
  <c r="I316"/>
  <c r="G234"/>
  <c r="G235"/>
  <c r="G230"/>
  <c r="H235" l="1"/>
  <c r="H230"/>
  <c r="H234"/>
  <c r="G215"/>
  <c r="G216"/>
  <c r="G220"/>
  <c r="G221"/>
  <c r="G217"/>
  <c r="G210"/>
  <c r="G198"/>
  <c r="G202"/>
  <c r="G187"/>
  <c r="G184"/>
  <c r="G181"/>
  <c r="G188"/>
  <c r="I235" l="1"/>
  <c r="I234"/>
  <c r="I230"/>
  <c r="H188"/>
  <c r="H202"/>
  <c r="H221"/>
  <c r="H216"/>
  <c r="H184"/>
  <c r="H210"/>
  <c r="H181"/>
  <c r="H187"/>
  <c r="H198"/>
  <c r="H217"/>
  <c r="H220"/>
  <c r="H215"/>
  <c r="I217" l="1"/>
  <c r="I210"/>
  <c r="I202"/>
  <c r="I198"/>
  <c r="I184"/>
  <c r="I188"/>
  <c r="I215"/>
  <c r="I187"/>
  <c r="I216"/>
  <c r="I220"/>
  <c r="I181"/>
  <c r="I221"/>
  <c r="G174" l="1"/>
  <c r="H174" l="1"/>
  <c r="I174" l="1"/>
  <c r="G267" l="1"/>
  <c r="G148"/>
  <c r="G127"/>
  <c r="H267" l="1"/>
  <c r="H127"/>
  <c r="H148"/>
  <c r="G153"/>
  <c r="I267" l="1"/>
  <c r="I148"/>
  <c r="I127"/>
  <c r="H153"/>
  <c r="G171"/>
  <c r="G147"/>
  <c r="G141"/>
  <c r="I153" l="1"/>
  <c r="H141"/>
  <c r="H147"/>
  <c r="H171"/>
  <c r="G334"/>
  <c r="G335"/>
  <c r="G121"/>
  <c r="G78"/>
  <c r="G337"/>
  <c r="G106" l="1"/>
  <c r="G158"/>
  <c r="I141"/>
  <c r="I171"/>
  <c r="I147"/>
  <c r="G165"/>
  <c r="G163"/>
  <c r="G161"/>
  <c r="G100"/>
  <c r="G81"/>
  <c r="G295"/>
  <c r="G297"/>
  <c r="G296"/>
  <c r="G298"/>
  <c r="H335"/>
  <c r="H337"/>
  <c r="H334"/>
  <c r="H121"/>
  <c r="H78"/>
  <c r="G173"/>
  <c r="G329"/>
  <c r="G331"/>
  <c r="G332"/>
  <c r="G333"/>
  <c r="G336"/>
  <c r="G172"/>
  <c r="G294"/>
  <c r="G284"/>
  <c r="G286"/>
  <c r="G292"/>
  <c r="G288"/>
  <c r="G291"/>
  <c r="G285"/>
  <c r="G289"/>
  <c r="G293"/>
  <c r="G287"/>
  <c r="G290"/>
  <c r="G278"/>
  <c r="G274"/>
  <c r="G277"/>
  <c r="G279"/>
  <c r="G280"/>
  <c r="G273"/>
  <c r="G281"/>
  <c r="G195"/>
  <c r="G194"/>
  <c r="G197"/>
  <c r="G196"/>
  <c r="G203"/>
  <c r="G157"/>
  <c r="G154"/>
  <c r="G125"/>
  <c r="G126"/>
  <c r="H329" l="1"/>
  <c r="H331"/>
  <c r="H336"/>
  <c r="G351"/>
  <c r="H106"/>
  <c r="G105"/>
  <c r="H158"/>
  <c r="I334"/>
  <c r="I337"/>
  <c r="I78"/>
  <c r="I335"/>
  <c r="I121"/>
  <c r="G166"/>
  <c r="G229"/>
  <c r="H296"/>
  <c r="H295"/>
  <c r="H81"/>
  <c r="H161"/>
  <c r="H163"/>
  <c r="H298"/>
  <c r="H297"/>
  <c r="H100"/>
  <c r="H165"/>
  <c r="G272"/>
  <c r="G348"/>
  <c r="H333"/>
  <c r="H332"/>
  <c r="H157"/>
  <c r="H196"/>
  <c r="H194"/>
  <c r="H281"/>
  <c r="H279"/>
  <c r="H274"/>
  <c r="H290"/>
  <c r="H293"/>
  <c r="H285"/>
  <c r="H288"/>
  <c r="H286"/>
  <c r="H172"/>
  <c r="H126"/>
  <c r="H125"/>
  <c r="H154"/>
  <c r="H203"/>
  <c r="H197"/>
  <c r="H195"/>
  <c r="H273"/>
  <c r="H280"/>
  <c r="H277"/>
  <c r="H278"/>
  <c r="H287"/>
  <c r="H289"/>
  <c r="H291"/>
  <c r="H292"/>
  <c r="H284"/>
  <c r="H294"/>
  <c r="H173"/>
  <c r="G179"/>
  <c r="G178"/>
  <c r="G143"/>
  <c r="G347"/>
  <c r="H351" l="1"/>
  <c r="H348"/>
  <c r="H347"/>
  <c r="I106"/>
  <c r="I158"/>
  <c r="H105"/>
  <c r="I294"/>
  <c r="I289"/>
  <c r="I280"/>
  <c r="I203"/>
  <c r="I172"/>
  <c r="I293"/>
  <c r="I281"/>
  <c r="I329"/>
  <c r="I331"/>
  <c r="I297"/>
  <c r="I81"/>
  <c r="H166"/>
  <c r="I284"/>
  <c r="I287"/>
  <c r="I273"/>
  <c r="I154"/>
  <c r="I286"/>
  <c r="I290"/>
  <c r="I194"/>
  <c r="I332"/>
  <c r="I333"/>
  <c r="I298"/>
  <c r="I295"/>
  <c r="I292"/>
  <c r="I278"/>
  <c r="I195"/>
  <c r="I125"/>
  <c r="I288"/>
  <c r="I274"/>
  <c r="I196"/>
  <c r="I336"/>
  <c r="I165"/>
  <c r="I163"/>
  <c r="I296"/>
  <c r="I173"/>
  <c r="I291"/>
  <c r="I277"/>
  <c r="I197"/>
  <c r="I126"/>
  <c r="I285"/>
  <c r="I279"/>
  <c r="I157"/>
  <c r="I100"/>
  <c r="I161"/>
  <c r="H229"/>
  <c r="H272"/>
  <c r="G340"/>
  <c r="G341"/>
  <c r="H143"/>
  <c r="H179"/>
  <c r="H178"/>
  <c r="G170"/>
  <c r="G142"/>
  <c r="G146"/>
  <c r="G144"/>
  <c r="G145"/>
  <c r="G122"/>
  <c r="I351" l="1"/>
  <c r="H340"/>
  <c r="H341"/>
  <c r="I105"/>
  <c r="I347"/>
  <c r="I272"/>
  <c r="I178"/>
  <c r="I348"/>
  <c r="I229"/>
  <c r="I166"/>
  <c r="I143"/>
  <c r="I179"/>
  <c r="H122"/>
  <c r="H142"/>
  <c r="H144"/>
  <c r="H145"/>
  <c r="H146"/>
  <c r="H170"/>
  <c r="I146" l="1"/>
  <c r="I144"/>
  <c r="I122"/>
  <c r="I341"/>
  <c r="I170"/>
  <c r="I142"/>
  <c r="I145"/>
  <c r="I340"/>
  <c r="I320" l="1"/>
  <c r="I42"/>
  <c r="I40" l="1"/>
  <c r="E769" l="1"/>
  <c r="E777" s="1"/>
  <c r="J40" s="1"/>
  <c r="J702" l="1"/>
  <c r="J698"/>
  <c r="J694"/>
  <c r="J690"/>
  <c r="J686"/>
  <c r="J656"/>
  <c r="J652"/>
  <c r="J619"/>
  <c r="J599"/>
  <c r="J588"/>
  <c r="J584"/>
  <c r="J547"/>
  <c r="J520"/>
  <c r="J516"/>
  <c r="J483"/>
  <c r="J479"/>
  <c r="J475"/>
  <c r="J471"/>
  <c r="J467"/>
  <c r="J463"/>
  <c r="J459"/>
  <c r="J455"/>
  <c r="J444"/>
  <c r="J440"/>
  <c r="J436"/>
  <c r="J432"/>
  <c r="J428"/>
  <c r="J424"/>
  <c r="J401"/>
  <c r="J397"/>
  <c r="J378"/>
  <c r="J327"/>
  <c r="J313"/>
  <c r="J309"/>
  <c r="J759"/>
  <c r="J750"/>
  <c r="J730"/>
  <c r="J721"/>
  <c r="J710"/>
  <c r="J677"/>
  <c r="J668"/>
  <c r="J592"/>
  <c r="J577"/>
  <c r="J563"/>
  <c r="J554"/>
  <c r="J532"/>
  <c r="J508"/>
  <c r="J499"/>
  <c r="J390"/>
  <c r="J371"/>
  <c r="J304"/>
  <c r="J243"/>
  <c r="J239"/>
  <c r="J763"/>
  <c r="J754"/>
  <c r="J742"/>
  <c r="J734"/>
  <c r="J725"/>
  <c r="J697"/>
  <c r="J672"/>
  <c r="J637"/>
  <c r="J596"/>
  <c r="J567"/>
  <c r="J558"/>
  <c r="J536"/>
  <c r="J527"/>
  <c r="J503"/>
  <c r="J491"/>
  <c r="J466"/>
  <c r="J427"/>
  <c r="J385"/>
  <c r="J366"/>
  <c r="J255"/>
  <c r="J250"/>
  <c r="J225"/>
  <c r="J758"/>
  <c r="J729"/>
  <c r="J715"/>
  <c r="J709"/>
  <c r="J676"/>
  <c r="J591"/>
  <c r="J571"/>
  <c r="J562"/>
  <c r="J553"/>
  <c r="J540"/>
  <c r="J531"/>
  <c r="J507"/>
  <c r="J409"/>
  <c r="J389"/>
  <c r="J370"/>
  <c r="J242"/>
  <c r="J760"/>
  <c r="J751"/>
  <c r="J744"/>
  <c r="J731"/>
  <c r="J722"/>
  <c r="J678"/>
  <c r="J669"/>
  <c r="J647"/>
  <c r="J578"/>
  <c r="J569"/>
  <c r="J555"/>
  <c r="J538"/>
  <c r="J524"/>
  <c r="J509"/>
  <c r="J500"/>
  <c r="J493"/>
  <c r="J350"/>
  <c r="J305"/>
  <c r="J755"/>
  <c r="J735"/>
  <c r="J726"/>
  <c r="J740"/>
  <c r="J723"/>
  <c r="J673"/>
  <c r="J625"/>
  <c r="J595"/>
  <c r="J566"/>
  <c r="J539"/>
  <c r="J490"/>
  <c r="J381"/>
  <c r="J241"/>
  <c r="J138"/>
  <c r="J123"/>
  <c r="J101"/>
  <c r="J56"/>
  <c r="J31"/>
  <c r="J18"/>
  <c r="J302"/>
  <c r="J535"/>
  <c r="J450"/>
  <c r="J408"/>
  <c r="J717"/>
  <c r="J666"/>
  <c r="J655"/>
  <c r="J638"/>
  <c r="J504"/>
  <c r="J482"/>
  <c r="J388"/>
  <c r="J352"/>
  <c r="J219"/>
  <c r="J17"/>
  <c r="J443"/>
  <c r="J323"/>
  <c r="J33"/>
  <c r="J612"/>
  <c r="J594"/>
  <c r="J565"/>
  <c r="J559"/>
  <c r="J543"/>
  <c r="J526"/>
  <c r="J489"/>
  <c r="J474"/>
  <c r="J431"/>
  <c r="J365"/>
  <c r="J254"/>
  <c r="J55"/>
  <c r="J30"/>
  <c r="J530"/>
  <c r="J369"/>
  <c r="J211"/>
  <c r="J29"/>
  <c r="J574"/>
  <c r="J557"/>
  <c r="J435"/>
  <c r="J400"/>
  <c r="J263"/>
  <c r="J258"/>
  <c r="J752"/>
  <c r="J727"/>
  <c r="J708"/>
  <c r="J665"/>
  <c r="J575"/>
  <c r="J570"/>
  <c r="J451"/>
  <c r="J259"/>
  <c r="J247"/>
  <c r="J218"/>
  <c r="J733"/>
  <c r="J670"/>
  <c r="J636"/>
  <c r="J627"/>
  <c r="J551"/>
  <c r="J542"/>
  <c r="J386"/>
  <c r="J719"/>
  <c r="J501"/>
  <c r="J674"/>
  <c r="J626"/>
  <c r="J618"/>
  <c r="J534"/>
  <c r="J367"/>
  <c r="J48"/>
  <c r="J37"/>
  <c r="J741"/>
  <c r="J160"/>
  <c r="J132"/>
  <c r="J47"/>
  <c r="J26"/>
  <c r="J159"/>
  <c r="J102"/>
  <c r="J59"/>
  <c r="J505"/>
  <c r="J706"/>
  <c r="J573"/>
  <c r="J262"/>
  <c r="J186"/>
  <c r="J52"/>
  <c r="J756"/>
  <c r="J640"/>
  <c r="J190"/>
  <c r="J762"/>
  <c r="J301"/>
  <c r="J51"/>
  <c r="J718"/>
  <c r="J308"/>
  <c r="J470"/>
  <c r="J251"/>
  <c r="J561"/>
  <c r="J528"/>
  <c r="J415"/>
  <c r="J118"/>
  <c r="J87"/>
  <c r="J65"/>
  <c r="J724"/>
  <c r="J406"/>
  <c r="J391"/>
  <c r="J442"/>
  <c r="J14"/>
  <c r="J484"/>
  <c r="J693"/>
  <c r="J437"/>
  <c r="J671"/>
  <c r="J240"/>
  <c r="J468"/>
  <c r="J404"/>
  <c r="J604"/>
  <c r="J426"/>
  <c r="J469"/>
  <c r="J707"/>
  <c r="J485"/>
  <c r="J667"/>
  <c r="J344"/>
  <c r="J607"/>
  <c r="J441"/>
  <c r="J631"/>
  <c r="J209"/>
  <c r="J32"/>
  <c r="J732"/>
  <c r="J464"/>
  <c r="J635"/>
  <c r="J519"/>
  <c r="J135"/>
  <c r="J481"/>
  <c r="J377"/>
  <c r="J248"/>
  <c r="J510"/>
  <c r="J679"/>
  <c r="J447"/>
  <c r="J252"/>
  <c r="J517"/>
  <c r="J498"/>
  <c r="J684"/>
  <c r="J434"/>
  <c r="J691"/>
  <c r="J461"/>
  <c r="J646"/>
  <c r="J363"/>
  <c r="J124"/>
  <c r="J556"/>
  <c r="J458"/>
  <c r="J681"/>
  <c r="J60"/>
  <c r="J518"/>
  <c r="J429"/>
  <c r="J399"/>
  <c r="J61"/>
  <c r="J689"/>
  <c r="J25"/>
  <c r="J581"/>
  <c r="J16"/>
  <c r="J486"/>
  <c r="J380"/>
  <c r="J728"/>
  <c r="J439"/>
  <c r="J620"/>
  <c r="J513"/>
  <c r="J387"/>
  <c r="J600"/>
  <c r="J403"/>
  <c r="J576"/>
  <c r="J749"/>
  <c r="J521"/>
  <c r="J256"/>
  <c r="J537"/>
  <c r="J743"/>
  <c r="J49"/>
  <c r="J360"/>
  <c r="J457"/>
  <c r="J35"/>
  <c r="J76"/>
  <c r="J64"/>
  <c r="J564"/>
  <c r="J402"/>
  <c r="J601"/>
  <c r="J757"/>
  <c r="J396"/>
  <c r="J753"/>
  <c r="J454"/>
  <c r="J675"/>
  <c r="J546"/>
  <c r="J414"/>
  <c r="J639"/>
  <c r="J433"/>
  <c r="J628"/>
  <c r="J541"/>
  <c r="J311"/>
  <c r="J568"/>
  <c r="J477"/>
  <c r="J478"/>
  <c r="J515"/>
  <c r="J506"/>
  <c r="J257"/>
  <c r="J593"/>
  <c r="J622"/>
  <c r="J502"/>
  <c r="J438"/>
  <c r="J249"/>
  <c r="J533"/>
  <c r="J685"/>
  <c r="J430"/>
  <c r="J687"/>
  <c r="J446"/>
  <c r="J643"/>
  <c r="J261"/>
  <c r="J572"/>
  <c r="J379"/>
  <c r="J586"/>
  <c r="J701"/>
  <c r="J24"/>
  <c r="J650"/>
  <c r="J375"/>
  <c r="J376"/>
  <c r="J621"/>
  <c r="J423"/>
  <c r="J654"/>
  <c r="J525"/>
  <c r="J445"/>
  <c r="J326"/>
  <c r="J587"/>
  <c r="J253"/>
  <c r="J632"/>
  <c r="J456"/>
  <c r="J700"/>
  <c r="J472"/>
  <c r="J761"/>
  <c r="J720"/>
  <c r="J398"/>
  <c r="J312"/>
  <c r="J560"/>
  <c r="J609"/>
  <c r="J462"/>
  <c r="J480"/>
  <c r="J657"/>
  <c r="J395"/>
  <c r="J688"/>
  <c r="J476"/>
  <c r="J260"/>
  <c r="J310"/>
  <c r="J492"/>
  <c r="J695"/>
  <c r="J303"/>
  <c r="J460"/>
  <c r="J608"/>
  <c r="J651"/>
  <c r="J473"/>
  <c r="J653"/>
  <c r="J552"/>
  <c r="J413"/>
  <c r="J361"/>
  <c r="J514"/>
  <c r="J585"/>
  <c r="J692"/>
  <c r="J75"/>
  <c r="J699"/>
  <c r="J425"/>
  <c r="J368"/>
  <c r="J658"/>
  <c r="J716"/>
  <c r="J465"/>
  <c r="J696"/>
  <c r="J529"/>
  <c r="J703"/>
  <c r="J50"/>
  <c r="J712"/>
  <c r="J373"/>
  <c r="J738"/>
  <c r="J495"/>
  <c r="J747"/>
  <c r="J411"/>
  <c r="J615"/>
  <c r="J358"/>
  <c r="J420"/>
  <c r="J21"/>
  <c r="J12"/>
  <c r="J549"/>
  <c r="J383"/>
  <c r="J393"/>
  <c r="J663"/>
  <c r="J418"/>
  <c r="J661"/>
  <c r="J356"/>
  <c r="J107"/>
  <c r="J162"/>
  <c r="J164"/>
  <c r="J111"/>
  <c r="J97"/>
  <c r="J110"/>
  <c r="J200"/>
  <c r="J201"/>
  <c r="J204"/>
  <c r="J199"/>
  <c r="J189"/>
  <c r="J86"/>
  <c r="J183"/>
  <c r="J88"/>
  <c r="J185"/>
  <c r="J84"/>
  <c r="J89"/>
  <c r="J85"/>
  <c r="J182"/>
  <c r="J180"/>
  <c r="J72"/>
  <c r="J69"/>
  <c r="J77"/>
  <c r="J68"/>
  <c r="J92"/>
  <c r="J349"/>
  <c r="J353"/>
  <c r="J208"/>
  <c r="J328"/>
  <c r="J330"/>
  <c r="J317"/>
  <c r="J276"/>
  <c r="J316"/>
  <c r="J275"/>
  <c r="J234"/>
  <c r="J230"/>
  <c r="J235"/>
  <c r="J221"/>
  <c r="J187"/>
  <c r="J188"/>
  <c r="J220"/>
  <c r="J184"/>
  <c r="J216"/>
  <c r="J217"/>
  <c r="J198"/>
  <c r="J215"/>
  <c r="J202"/>
  <c r="J210"/>
  <c r="J181"/>
  <c r="J174"/>
  <c r="J127"/>
  <c r="J148"/>
  <c r="J267"/>
  <c r="J153"/>
  <c r="J171"/>
  <c r="J141"/>
  <c r="J147"/>
  <c r="J78"/>
  <c r="J335"/>
  <c r="J337"/>
  <c r="J334"/>
  <c r="J121"/>
  <c r="J165"/>
  <c r="J196"/>
  <c r="J288"/>
  <c r="J285"/>
  <c r="J290"/>
  <c r="J291"/>
  <c r="J273"/>
  <c r="J106"/>
  <c r="J125"/>
  <c r="J332"/>
  <c r="J329"/>
  <c r="J286"/>
  <c r="J126"/>
  <c r="J298"/>
  <c r="J203"/>
  <c r="J154"/>
  <c r="J297"/>
  <c r="J279"/>
  <c r="J278"/>
  <c r="J336"/>
  <c r="J287"/>
  <c r="J100"/>
  <c r="J277"/>
  <c r="J289"/>
  <c r="J163"/>
  <c r="J295"/>
  <c r="J293"/>
  <c r="J173"/>
  <c r="J284"/>
  <c r="J197"/>
  <c r="J161"/>
  <c r="J280"/>
  <c r="J195"/>
  <c r="J172"/>
  <c r="J281"/>
  <c r="J292"/>
  <c r="J194"/>
  <c r="J157"/>
  <c r="J331"/>
  <c r="J158"/>
  <c r="J333"/>
  <c r="J81"/>
  <c r="J296"/>
  <c r="J274"/>
  <c r="J294"/>
  <c r="J272"/>
  <c r="J143"/>
  <c r="J229"/>
  <c r="J166"/>
  <c r="J105"/>
  <c r="J348"/>
  <c r="J351"/>
  <c r="J178"/>
  <c r="J347"/>
  <c r="J179"/>
  <c r="J144"/>
  <c r="J341"/>
  <c r="J340"/>
  <c r="J170"/>
  <c r="J146"/>
  <c r="J145"/>
  <c r="J142"/>
  <c r="J122"/>
  <c r="J42"/>
  <c r="J320"/>
  <c r="H41" i="4"/>
  <c r="G41"/>
  <c r="J41"/>
  <c r="E41"/>
  <c r="K41"/>
  <c r="I41"/>
  <c r="L41"/>
  <c r="F41"/>
  <c r="D41"/>
  <c r="D43" l="1"/>
  <c r="E43" l="1"/>
  <c r="F43" l="1"/>
  <c r="G43" l="1"/>
  <c r="H43" l="1"/>
  <c r="I43" l="1"/>
  <c r="J43" l="1"/>
  <c r="K43" l="1"/>
  <c r="L43" l="1"/>
</calcChain>
</file>

<file path=xl/sharedStrings.xml><?xml version="1.0" encoding="utf-8"?>
<sst xmlns="http://schemas.openxmlformats.org/spreadsheetml/2006/main" count="693" uniqueCount="659">
  <si>
    <t>ITEM</t>
  </si>
  <si>
    <t>DESCRIÇÃO</t>
  </si>
  <si>
    <t>SERVIÇOS PRELIMINARES</t>
  </si>
  <si>
    <t>OBRAS CIVIS</t>
  </si>
  <si>
    <t>FUNDAÇÕES E ESTRUTURAS</t>
  </si>
  <si>
    <t>INSTALAÇÕES ELÉTRICAS</t>
  </si>
  <si>
    <t>CFTV</t>
  </si>
  <si>
    <t>REDE DE TELEMÁTICA</t>
  </si>
  <si>
    <t>INSTALAÇÕES HIDROSSANITÁRIAS</t>
  </si>
  <si>
    <t>SISTEMA DE COMBATE E PREVENÇÃO A INCÊNDIO</t>
  </si>
  <si>
    <t>SISTEMA DE AR CONDICIONADO</t>
  </si>
  <si>
    <t xml:space="preserve">DATA BASE: </t>
  </si>
  <si>
    <t>LOCAL:</t>
  </si>
  <si>
    <t>BDI OBRA</t>
  </si>
  <si>
    <t xml:space="preserve">ITEM </t>
  </si>
  <si>
    <t>CÓDIGO</t>
  </si>
  <si>
    <t>FONTE</t>
  </si>
  <si>
    <t>UND</t>
  </si>
  <si>
    <t xml:space="preserve">QUANT. </t>
  </si>
  <si>
    <t>TOTAL</t>
  </si>
  <si>
    <t>%</t>
  </si>
  <si>
    <t>RESUMO</t>
  </si>
  <si>
    <t>ESPECIALIDADE</t>
  </si>
  <si>
    <t>TOTAL GERAL (COM BDI)</t>
  </si>
  <si>
    <t>PLANILHA ORÇAMENTÁRIA</t>
  </si>
  <si>
    <t>SECRETARIA DE TURISMO - SETUR</t>
  </si>
  <si>
    <t>OBRA:</t>
  </si>
  <si>
    <t>1.0</t>
  </si>
  <si>
    <t>1.1</t>
  </si>
  <si>
    <t>1.1.1</t>
  </si>
  <si>
    <t>1.1.2</t>
  </si>
  <si>
    <t>1.1.3</t>
  </si>
  <si>
    <t>1.2</t>
  </si>
  <si>
    <t>1.2.1</t>
  </si>
  <si>
    <t>1.2.1.1</t>
  </si>
  <si>
    <t>1.2.1.2</t>
  </si>
  <si>
    <t>1.2.1.3</t>
  </si>
  <si>
    <t>1.2.2</t>
  </si>
  <si>
    <t>1.2.2.1</t>
  </si>
  <si>
    <t>1.2.2.2</t>
  </si>
  <si>
    <t>1.2.2.3</t>
  </si>
  <si>
    <t>1.2.2.4</t>
  </si>
  <si>
    <t>1.2.2.5</t>
  </si>
  <si>
    <t>2.0</t>
  </si>
  <si>
    <t>2.1</t>
  </si>
  <si>
    <t>2.1.1</t>
  </si>
  <si>
    <t>2.1.2</t>
  </si>
  <si>
    <t>2.1.3</t>
  </si>
  <si>
    <t>2.2</t>
  </si>
  <si>
    <t>2.2.1</t>
  </si>
  <si>
    <t>2.2.1.1</t>
  </si>
  <si>
    <t>2.2.2</t>
  </si>
  <si>
    <t>2.2.2.1</t>
  </si>
  <si>
    <t>2.2.2.2</t>
  </si>
  <si>
    <t>2.2.2.3</t>
  </si>
  <si>
    <t>2.2.2.4</t>
  </si>
  <si>
    <t>2.2.2.5</t>
  </si>
  <si>
    <t>2.2.3</t>
  </si>
  <si>
    <t>2.2.3.1</t>
  </si>
  <si>
    <t>2.2.3.2</t>
  </si>
  <si>
    <t>2.2.4</t>
  </si>
  <si>
    <t>2.2.4.1</t>
  </si>
  <si>
    <t>3.0</t>
  </si>
  <si>
    <t>3.1</t>
  </si>
  <si>
    <t>3.2</t>
  </si>
  <si>
    <t>3.2.1</t>
  </si>
  <si>
    <t>3.2.2</t>
  </si>
  <si>
    <t>3.2.3</t>
  </si>
  <si>
    <t>3.3</t>
  </si>
  <si>
    <t>3.3.1</t>
  </si>
  <si>
    <t>3.3.2</t>
  </si>
  <si>
    <t>3.3.3</t>
  </si>
  <si>
    <t>3.3.4</t>
  </si>
  <si>
    <t>3.3.5</t>
  </si>
  <si>
    <t>3.4</t>
  </si>
  <si>
    <t>3.4.1</t>
  </si>
  <si>
    <t>3.1.1</t>
  </si>
  <si>
    <t>3.1.2</t>
  </si>
  <si>
    <t>4.0</t>
  </si>
  <si>
    <t>4.1</t>
  </si>
  <si>
    <t>4.1.1</t>
  </si>
  <si>
    <t>4.1.1.1</t>
  </si>
  <si>
    <t>4.1.1.2</t>
  </si>
  <si>
    <t>4.1.1.3</t>
  </si>
  <si>
    <t>4.1.1.4</t>
  </si>
  <si>
    <t>4.1.1.5</t>
  </si>
  <si>
    <t>4.1.1.6</t>
  </si>
  <si>
    <t>4.1.1.7</t>
  </si>
  <si>
    <t>4.1.1.8</t>
  </si>
  <si>
    <t>4.1.1.9</t>
  </si>
  <si>
    <t>4.1.1.10</t>
  </si>
  <si>
    <t>4.1.1.11</t>
  </si>
  <si>
    <t>4.1.1.12</t>
  </si>
  <si>
    <t>4.1.1.13</t>
  </si>
  <si>
    <t>4.1.1.14</t>
  </si>
  <si>
    <t>4.1.1.15</t>
  </si>
  <si>
    <t>4.1.2</t>
  </si>
  <si>
    <t>4.1.2.1</t>
  </si>
  <si>
    <t>4.1.2.2</t>
  </si>
  <si>
    <t>4.1.3</t>
  </si>
  <si>
    <t>4.1.3.1</t>
  </si>
  <si>
    <t>4.1.3.2</t>
  </si>
  <si>
    <t>4.1.3.3</t>
  </si>
  <si>
    <t>4.1.4</t>
  </si>
  <si>
    <t>4.1.4.1</t>
  </si>
  <si>
    <t>4.1.4.2</t>
  </si>
  <si>
    <t>4.1.4.3</t>
  </si>
  <si>
    <t>4.1.4.4</t>
  </si>
  <si>
    <t>4.1.4.5</t>
  </si>
  <si>
    <t>4.2</t>
  </si>
  <si>
    <t>4.2.1</t>
  </si>
  <si>
    <t>4.2.1.1</t>
  </si>
  <si>
    <t>4.2.1.2</t>
  </si>
  <si>
    <t>4.2.1.3</t>
  </si>
  <si>
    <t>4.2.1.4</t>
  </si>
  <si>
    <t>4.2.1.5</t>
  </si>
  <si>
    <t>4.2.1.6</t>
  </si>
  <si>
    <t>4.2.1.7</t>
  </si>
  <si>
    <t>4.2.1.8</t>
  </si>
  <si>
    <t>4.2.1.9</t>
  </si>
  <si>
    <t>4.2.2</t>
  </si>
  <si>
    <t>4.2.2.1</t>
  </si>
  <si>
    <t>4.2.2.2</t>
  </si>
  <si>
    <t>4.2.2.3</t>
  </si>
  <si>
    <t>4.2.2.4</t>
  </si>
  <si>
    <t>4.2.2.5</t>
  </si>
  <si>
    <t>4.2.2.6</t>
  </si>
  <si>
    <t>4.2.3</t>
  </si>
  <si>
    <t>4.2.3.1</t>
  </si>
  <si>
    <t>4.2.3.2</t>
  </si>
  <si>
    <t>4.3</t>
  </si>
  <si>
    <t>4.3.1</t>
  </si>
  <si>
    <t>4.3.2</t>
  </si>
  <si>
    <t>5.1</t>
  </si>
  <si>
    <t>5.1.1</t>
  </si>
  <si>
    <t>5.1.2</t>
  </si>
  <si>
    <t>5.1.3</t>
  </si>
  <si>
    <t>5.0</t>
  </si>
  <si>
    <t>6.0</t>
  </si>
  <si>
    <t>6.1</t>
  </si>
  <si>
    <t>6.1.1</t>
  </si>
  <si>
    <t>6.1.2</t>
  </si>
  <si>
    <t>6.1.3</t>
  </si>
  <si>
    <t>6.1.4</t>
  </si>
  <si>
    <t>6.1.5</t>
  </si>
  <si>
    <t>6.2</t>
  </si>
  <si>
    <t>6.2.1</t>
  </si>
  <si>
    <t>6.2.2</t>
  </si>
  <si>
    <t>6.2.3</t>
  </si>
  <si>
    <t>6.2.4</t>
  </si>
  <si>
    <t>7.0</t>
  </si>
  <si>
    <t>7.1</t>
  </si>
  <si>
    <t>7.1.1</t>
  </si>
  <si>
    <t>7.1.2</t>
  </si>
  <si>
    <t>7.2</t>
  </si>
  <si>
    <t>7.2.1</t>
  </si>
  <si>
    <t>7.2.1.1</t>
  </si>
  <si>
    <t>7.2.1.2</t>
  </si>
  <si>
    <t>7.2.1.3</t>
  </si>
  <si>
    <t>7.2.1.4</t>
  </si>
  <si>
    <t>7.2.1.5</t>
  </si>
  <si>
    <t>7.2.1.6</t>
  </si>
  <si>
    <t>7.2.1.7</t>
  </si>
  <si>
    <t>7.2.1.8</t>
  </si>
  <si>
    <t>7.2.1.9</t>
  </si>
  <si>
    <t>7.2.1.10</t>
  </si>
  <si>
    <t>7.2.1.11</t>
  </si>
  <si>
    <t>7.2.1.12</t>
  </si>
  <si>
    <t>7.2.1.13</t>
  </si>
  <si>
    <t>7.2.1.14</t>
  </si>
  <si>
    <t>7.2.1.15</t>
  </si>
  <si>
    <t>8.0</t>
  </si>
  <si>
    <t>8.1</t>
  </si>
  <si>
    <t>8.2</t>
  </si>
  <si>
    <t>9.0</t>
  </si>
  <si>
    <t>9.1</t>
  </si>
  <si>
    <t>9.2</t>
  </si>
  <si>
    <t>9.3</t>
  </si>
  <si>
    <t>MESES</t>
  </si>
  <si>
    <t>TOTAL =</t>
  </si>
  <si>
    <t xml:space="preserve">TOTAL ACUMULADO = </t>
  </si>
  <si>
    <t>CRONOGRAMA FÍSICO-FINANCEIRO</t>
  </si>
  <si>
    <t>1.3</t>
  </si>
  <si>
    <t>1.3.1</t>
  </si>
  <si>
    <t>PROJETO EXECUTIVO DE REQUALIFICAÇÃO DO PAÇO MUNICIPAL DE GOIANA PARA IMPLANTAÇÃO DE ESPAÇO CULTURAL E CENTRO DE ATENDIMENTO AO TURISTA – CAT</t>
  </si>
  <si>
    <t>AVENIDA MARECHAL DEODORO DDA FONSECA, SN - CENTRO - GOIANA/PE</t>
  </si>
  <si>
    <t>2.1.1.1</t>
  </si>
  <si>
    <t>2.1.1.1.1</t>
  </si>
  <si>
    <t>2.1.1.1.2</t>
  </si>
  <si>
    <t>2.1.1.1.3</t>
  </si>
  <si>
    <t>2.1.1.1.4</t>
  </si>
  <si>
    <t>2.1.1.1.5</t>
  </si>
  <si>
    <t>2.1.1.1.6</t>
  </si>
  <si>
    <t>2.1.1.2</t>
  </si>
  <si>
    <t>2.1.1.2.1</t>
  </si>
  <si>
    <t>2.1.1.2.2</t>
  </si>
  <si>
    <t>2.1.1.3</t>
  </si>
  <si>
    <t>2.1.1.3.1</t>
  </si>
  <si>
    <t>2.1.1.3.2</t>
  </si>
  <si>
    <t>2.1.1.3.3</t>
  </si>
  <si>
    <t>2.1.1.4</t>
  </si>
  <si>
    <t>2.1.1.4.1</t>
  </si>
  <si>
    <t>2.1.1.4.2</t>
  </si>
  <si>
    <t>2.1.1.5</t>
  </si>
  <si>
    <t>2.1.1.5.1</t>
  </si>
  <si>
    <t>2.1.1.5.2</t>
  </si>
  <si>
    <t>2.1.1.6</t>
  </si>
  <si>
    <t>2.1.1.6.1</t>
  </si>
  <si>
    <t>2.1.1.7</t>
  </si>
  <si>
    <t>2.1.1.7.1</t>
  </si>
  <si>
    <t>2.1.1.7.2</t>
  </si>
  <si>
    <t>2.1.1.7.3</t>
  </si>
  <si>
    <t>2.1.1.7.4</t>
  </si>
  <si>
    <t>2.1.1.8</t>
  </si>
  <si>
    <t>2.1.1.8.1</t>
  </si>
  <si>
    <t>2.1.1.9</t>
  </si>
  <si>
    <t>2.1.1.9.1</t>
  </si>
  <si>
    <t>2.1.1.9.2</t>
  </si>
  <si>
    <t>2.1.1.9.3</t>
  </si>
  <si>
    <t>2.1.1.9.4</t>
  </si>
  <si>
    <t>2.1.1.9.5</t>
  </si>
  <si>
    <t>2.1.1.9.6</t>
  </si>
  <si>
    <t>2.1.1.10</t>
  </si>
  <si>
    <t>2.1.1.10.1</t>
  </si>
  <si>
    <t>2.1.2.1</t>
  </si>
  <si>
    <t>2.1.2.1.1</t>
  </si>
  <si>
    <t>2.1.2.2</t>
  </si>
  <si>
    <t>2.1.2.2.1</t>
  </si>
  <si>
    <t>2.1.2.2.2</t>
  </si>
  <si>
    <t>2.1.2.2.3</t>
  </si>
  <si>
    <t>2.1.2.3</t>
  </si>
  <si>
    <t>2.1.2.3.1</t>
  </si>
  <si>
    <t>2.1.2.3.2</t>
  </si>
  <si>
    <t>2.1.2.3.3</t>
  </si>
  <si>
    <t>2.1.2.4</t>
  </si>
  <si>
    <t>2.1.2.4.1</t>
  </si>
  <si>
    <t>2.1.2.4.2</t>
  </si>
  <si>
    <t>2.1.3.1</t>
  </si>
  <si>
    <t>2.1.3.1.1</t>
  </si>
  <si>
    <t>2.1.3.1.1.1</t>
  </si>
  <si>
    <t>2.1.3.1.2</t>
  </si>
  <si>
    <t>2.1.3.1.2.1</t>
  </si>
  <si>
    <t>2.1.3.1.2.2</t>
  </si>
  <si>
    <t>2.1.3.1.2.3</t>
  </si>
  <si>
    <t>2.1.3.1.2.4</t>
  </si>
  <si>
    <t>2.1.3.1.2.5</t>
  </si>
  <si>
    <t>2.1.3.1.2.6</t>
  </si>
  <si>
    <t>2.1.3.1.2.7</t>
  </si>
  <si>
    <t>2.1.3.2</t>
  </si>
  <si>
    <t>2.1.3.2.1</t>
  </si>
  <si>
    <t>2.1.3.2.1.1</t>
  </si>
  <si>
    <t>2.1.3.2.2</t>
  </si>
  <si>
    <t>2.1.3.2.2.1</t>
  </si>
  <si>
    <t>2.1.3.2.3</t>
  </si>
  <si>
    <t>2.1.3.2.3.1</t>
  </si>
  <si>
    <t>2.1.3.2.4</t>
  </si>
  <si>
    <t>2.1.3.2.4.1</t>
  </si>
  <si>
    <t>2.1.3.2.4.2</t>
  </si>
  <si>
    <t>2.1.3.2.4.3</t>
  </si>
  <si>
    <t>2.1.3.2.4.4</t>
  </si>
  <si>
    <t>2.1.3.2.4.5</t>
  </si>
  <si>
    <t>2.1.3.2.4.6</t>
  </si>
  <si>
    <t>2.1.3.2.4.7</t>
  </si>
  <si>
    <t>2.1.3.2.4.8</t>
  </si>
  <si>
    <t>2.1.3.3</t>
  </si>
  <si>
    <t>2.1.3.3.1</t>
  </si>
  <si>
    <t>2.1.3.3.1.1</t>
  </si>
  <si>
    <t>2.1.3.3.1.2</t>
  </si>
  <si>
    <t>2.1.3.3.2</t>
  </si>
  <si>
    <t>2.1.3.3.2.1</t>
  </si>
  <si>
    <t>2.1.3.3.2.2</t>
  </si>
  <si>
    <t>2.1.3.3.2.3</t>
  </si>
  <si>
    <t>2.1.3.3.2.4</t>
  </si>
  <si>
    <t>2.1.3.3.2.5</t>
  </si>
  <si>
    <t>2.1.3.3.2.6</t>
  </si>
  <si>
    <t>2.1.3.3.2.7</t>
  </si>
  <si>
    <t>2.1.3.3.2.8</t>
  </si>
  <si>
    <t>2.1.3.3.2.9</t>
  </si>
  <si>
    <t>2.1.3.3.2.10</t>
  </si>
  <si>
    <t>2.1.3.4</t>
  </si>
  <si>
    <t>2.1.3.4.1</t>
  </si>
  <si>
    <t>2.1.3.4.2</t>
  </si>
  <si>
    <t>2.1.3.4.3</t>
  </si>
  <si>
    <t>2.1.3.4.4</t>
  </si>
  <si>
    <t>2.1.3.4.5</t>
  </si>
  <si>
    <t>2.1.3.5</t>
  </si>
  <si>
    <t>2.1.3.5.1</t>
  </si>
  <si>
    <t>2.1.3.5.2</t>
  </si>
  <si>
    <t>2.1.3.5.3</t>
  </si>
  <si>
    <t>2.1.3.5.4</t>
  </si>
  <si>
    <t>2.1.3.5.5</t>
  </si>
  <si>
    <t>2.1.3.5.6</t>
  </si>
  <si>
    <t>2.1.3.5.7</t>
  </si>
  <si>
    <t>2.1.3.5.8</t>
  </si>
  <si>
    <t>2.1.3.5.9</t>
  </si>
  <si>
    <t>2.1.3.5.10</t>
  </si>
  <si>
    <t>2.1.3.5.11</t>
  </si>
  <si>
    <t>2.1.3.5.12</t>
  </si>
  <si>
    <t>2.1.3.5.13</t>
  </si>
  <si>
    <t>2.1.3.6</t>
  </si>
  <si>
    <t>2.1.3.6.1</t>
  </si>
  <si>
    <t>2.1.3.6.2</t>
  </si>
  <si>
    <t>2.1.3.6.3</t>
  </si>
  <si>
    <t>2.1.3.6.4</t>
  </si>
  <si>
    <t>2.1.3.6.5</t>
  </si>
  <si>
    <t>2.1.3.6.6</t>
  </si>
  <si>
    <t>2.1.3.6.7</t>
  </si>
  <si>
    <t>2.1.3.6.8</t>
  </si>
  <si>
    <t>2.1.3.6.9</t>
  </si>
  <si>
    <t>2.1.3.6.10</t>
  </si>
  <si>
    <t>2.1.3.6.11</t>
  </si>
  <si>
    <t>2.1.3.7</t>
  </si>
  <si>
    <t>2.1.3.7.1</t>
  </si>
  <si>
    <t>2.1.3.7.2</t>
  </si>
  <si>
    <t>2.1.3.7.3</t>
  </si>
  <si>
    <t>2.1.3.7.4</t>
  </si>
  <si>
    <t>2.1.3.8</t>
  </si>
  <si>
    <t>2.1.3.8.1</t>
  </si>
  <si>
    <t>2.1.3.8.2</t>
  </si>
  <si>
    <t>2.1.3.8.3</t>
  </si>
  <si>
    <t>2.1.3.8.4</t>
  </si>
  <si>
    <t>2.1.3.8.5</t>
  </si>
  <si>
    <t>2.1.3.8.6</t>
  </si>
  <si>
    <t>2.1.3.8.7</t>
  </si>
  <si>
    <t>2.1.3.9</t>
  </si>
  <si>
    <t>2.1.3.9.1</t>
  </si>
  <si>
    <t>2.1.3.10</t>
  </si>
  <si>
    <t>2.1.3.10.1</t>
  </si>
  <si>
    <t>2.1.3.10.2</t>
  </si>
  <si>
    <t>2.1.3.11</t>
  </si>
  <si>
    <t>2.1.3.11.1</t>
  </si>
  <si>
    <t>2.1.3.11.2</t>
  </si>
  <si>
    <t>2.1.3.12</t>
  </si>
  <si>
    <t>2.1.3.12.1</t>
  </si>
  <si>
    <t>2.1.3.12.2</t>
  </si>
  <si>
    <t>2.1.3.12.3</t>
  </si>
  <si>
    <t>2.1.3.12.4</t>
  </si>
  <si>
    <t>2.1.3.12.5</t>
  </si>
  <si>
    <t>2.1.3.13</t>
  </si>
  <si>
    <t>2.1.3.13.1</t>
  </si>
  <si>
    <t>2.1.3.13.2</t>
  </si>
  <si>
    <t>2.1.3.13.3</t>
  </si>
  <si>
    <t>2.1.3.13.4</t>
  </si>
  <si>
    <t>2.1.3.13.5</t>
  </si>
  <si>
    <t>2.1.3.13.6</t>
  </si>
  <si>
    <t>2.1.3.13.7</t>
  </si>
  <si>
    <t>2.1.3.13.8</t>
  </si>
  <si>
    <t>2.1.3.13.9</t>
  </si>
  <si>
    <t>2.1.3.13.10</t>
  </si>
  <si>
    <t>2.1.3.13.11</t>
  </si>
  <si>
    <t>2.1.3.13.12</t>
  </si>
  <si>
    <t>2.1.3.13.13</t>
  </si>
  <si>
    <t>2.1.3.13.14</t>
  </si>
  <si>
    <t>2.1.3.13.15</t>
  </si>
  <si>
    <t>2.1.3.13.16</t>
  </si>
  <si>
    <t>2.1.3.13.17</t>
  </si>
  <si>
    <t>2.1.3.14</t>
  </si>
  <si>
    <t>2.1.3.14.1</t>
  </si>
  <si>
    <t>2.1.3.15</t>
  </si>
  <si>
    <t>2.1.3.15.1</t>
  </si>
  <si>
    <t>2.1.3.15.1.1</t>
  </si>
  <si>
    <t>2.1.3.15.1.2</t>
  </si>
  <si>
    <t>2.1.3.15.1.3</t>
  </si>
  <si>
    <t>2.1.3.15.1.4</t>
  </si>
  <si>
    <t>2.1.3.15.1.5</t>
  </si>
  <si>
    <t>2.1.3.15.1.6</t>
  </si>
  <si>
    <t>2.1.3.15.1.7</t>
  </si>
  <si>
    <t>2.1.3.15.1.8</t>
  </si>
  <si>
    <t>2.1.3.15.1.9</t>
  </si>
  <si>
    <t>2.1.3.15.1.10</t>
  </si>
  <si>
    <t>2.1.3.15.2</t>
  </si>
  <si>
    <t>2.1.3.15.2.1</t>
  </si>
  <si>
    <t>2.1.3.15.2.2</t>
  </si>
  <si>
    <t>2.1.3.15.2.3</t>
  </si>
  <si>
    <t>2.1.3.15.2.4</t>
  </si>
  <si>
    <t>2.1.3.15.2.5</t>
  </si>
  <si>
    <t>2.1.3.15.2.6</t>
  </si>
  <si>
    <t>2.1.3.15.2.7</t>
  </si>
  <si>
    <t>2.1.3.15.2.8</t>
  </si>
  <si>
    <t>2.1.3.15.2.9</t>
  </si>
  <si>
    <t>2.1.3.15.2.10</t>
  </si>
  <si>
    <t>2.1.3.15.2.11</t>
  </si>
  <si>
    <t>2.1.3.15.2.12</t>
  </si>
  <si>
    <t>2.1.3.15.2.13</t>
  </si>
  <si>
    <t>2.1.3.15.2.14</t>
  </si>
  <si>
    <t>2.1.3.15.2.15</t>
  </si>
  <si>
    <t>2.1.3.15.3</t>
  </si>
  <si>
    <t>2.1.3.15.3.1</t>
  </si>
  <si>
    <t>2.1.3.15.3.2</t>
  </si>
  <si>
    <t>2.1.3.15.3.3</t>
  </si>
  <si>
    <t>2.1.3.15.3.4</t>
  </si>
  <si>
    <t>2.1.3.15.3.5</t>
  </si>
  <si>
    <t>2.1.3.15.4</t>
  </si>
  <si>
    <t>2.1.3.15.4.1</t>
  </si>
  <si>
    <t>2.1.3.15.4.2</t>
  </si>
  <si>
    <t>2.1.3.15.4.3</t>
  </si>
  <si>
    <t>2.1.3.15.4.4</t>
  </si>
  <si>
    <t>2.1.3.15.4.5</t>
  </si>
  <si>
    <t>2.1.3.15.4.6</t>
  </si>
  <si>
    <t>2.1.3.15.5</t>
  </si>
  <si>
    <t>2.1.3.15.5.1</t>
  </si>
  <si>
    <t>2.1.3.15.5.2</t>
  </si>
  <si>
    <t>2.2.2.6</t>
  </si>
  <si>
    <t>2.2.2.7</t>
  </si>
  <si>
    <t>2.2.2.8</t>
  </si>
  <si>
    <t>2.2.2.9</t>
  </si>
  <si>
    <t>2.2.2.10</t>
  </si>
  <si>
    <t>2.2.2.11</t>
  </si>
  <si>
    <t>2.2.2.12</t>
  </si>
  <si>
    <t>3.2.4</t>
  </si>
  <si>
    <t>3.2.5</t>
  </si>
  <si>
    <t>3.2.6</t>
  </si>
  <si>
    <t>3.2.7</t>
  </si>
  <si>
    <t>3.3.6</t>
  </si>
  <si>
    <t>3.3.7</t>
  </si>
  <si>
    <t>3.4.2</t>
  </si>
  <si>
    <t>3.4.3</t>
  </si>
  <si>
    <t>3.4.4</t>
  </si>
  <si>
    <t>3.4.5</t>
  </si>
  <si>
    <t>3.4.6</t>
  </si>
  <si>
    <t>3.4.7</t>
  </si>
  <si>
    <t>3.5</t>
  </si>
  <si>
    <t>3.5.1</t>
  </si>
  <si>
    <t>3.5.2</t>
  </si>
  <si>
    <t>3.5.3</t>
  </si>
  <si>
    <t>3.5.4</t>
  </si>
  <si>
    <t>3.5.5</t>
  </si>
  <si>
    <t>3.5.6</t>
  </si>
  <si>
    <t>3.5.7</t>
  </si>
  <si>
    <t>3.5.8</t>
  </si>
  <si>
    <t>3.5.9</t>
  </si>
  <si>
    <t>3.5.10</t>
  </si>
  <si>
    <t>3.6</t>
  </si>
  <si>
    <t>3.6.1</t>
  </si>
  <si>
    <t>3.6.2</t>
  </si>
  <si>
    <t>3.7</t>
  </si>
  <si>
    <t>3.7.1</t>
  </si>
  <si>
    <t>3.7.2</t>
  </si>
  <si>
    <t>3.7.3</t>
  </si>
  <si>
    <t>4.1.1.16</t>
  </si>
  <si>
    <t>4.1.1.17</t>
  </si>
  <si>
    <t>4.1.1.18</t>
  </si>
  <si>
    <t>4.1.1.19</t>
  </si>
  <si>
    <t>4.1.1.20</t>
  </si>
  <si>
    <t>4.1.1.21</t>
  </si>
  <si>
    <t>4.1.1.22</t>
  </si>
  <si>
    <t>4.1.1.23</t>
  </si>
  <si>
    <t>4.1.1.24</t>
  </si>
  <si>
    <t>4.1.1.25</t>
  </si>
  <si>
    <t>4.1.3.4</t>
  </si>
  <si>
    <t>4.1.3.5</t>
  </si>
  <si>
    <t>4.1.3.6</t>
  </si>
  <si>
    <t>4.1.3.7</t>
  </si>
  <si>
    <t>4.1.3.8</t>
  </si>
  <si>
    <t>4.1.3.9</t>
  </si>
  <si>
    <t>4.1.3.10</t>
  </si>
  <si>
    <t>4.1.3.11</t>
  </si>
  <si>
    <t>4.1.3.12</t>
  </si>
  <si>
    <t>4.1.3.13</t>
  </si>
  <si>
    <t>4.1.3.14</t>
  </si>
  <si>
    <t>4.1.3.15</t>
  </si>
  <si>
    <t>4.1.3.16</t>
  </si>
  <si>
    <t>4.1.3.17</t>
  </si>
  <si>
    <t>4.1.3.18</t>
  </si>
  <si>
    <t>4.1.3.19</t>
  </si>
  <si>
    <t>4.1.3.20</t>
  </si>
  <si>
    <t>4.1.3.21</t>
  </si>
  <si>
    <t>4.1.3.22</t>
  </si>
  <si>
    <t>4.1.3.23</t>
  </si>
  <si>
    <t>4.1.3.24</t>
  </si>
  <si>
    <t>4.1.3.25</t>
  </si>
  <si>
    <t>4.1.3.26</t>
  </si>
  <si>
    <t>4.1.3.27</t>
  </si>
  <si>
    <t>4.1.3.28</t>
  </si>
  <si>
    <t>4.1.3.29</t>
  </si>
  <si>
    <t>4.1.3.30</t>
  </si>
  <si>
    <t>4.1.3.31</t>
  </si>
  <si>
    <t>4.1.3.32</t>
  </si>
  <si>
    <t>4.1.3.33</t>
  </si>
  <si>
    <t>4.2.1.10</t>
  </si>
  <si>
    <t>4.2.1.11</t>
  </si>
  <si>
    <t>4.2.1.12</t>
  </si>
  <si>
    <t>4.2.1.13</t>
  </si>
  <si>
    <t>4.2.2.7</t>
  </si>
  <si>
    <t>4.2.2.8</t>
  </si>
  <si>
    <t>4.2.2.9</t>
  </si>
  <si>
    <t>4.2.3.3</t>
  </si>
  <si>
    <t>4.2.3.4</t>
  </si>
  <si>
    <t>4.2.3.5</t>
  </si>
  <si>
    <t>4.2.3.6</t>
  </si>
  <si>
    <t>4.2.3.7</t>
  </si>
  <si>
    <t>4.2.3.8</t>
  </si>
  <si>
    <t>4.2.3.9</t>
  </si>
  <si>
    <t>4.2.3.10</t>
  </si>
  <si>
    <t>4.2.3.11</t>
  </si>
  <si>
    <t>4.2.3.12</t>
  </si>
  <si>
    <t>4.2.3.13</t>
  </si>
  <si>
    <t>4.2.3.14</t>
  </si>
  <si>
    <t>4.2.3.15</t>
  </si>
  <si>
    <t>4.2.3.16</t>
  </si>
  <si>
    <t>4.2.3.17</t>
  </si>
  <si>
    <t>4.2.3.18</t>
  </si>
  <si>
    <t>4.2.3.19</t>
  </si>
  <si>
    <t>4.2.3.20</t>
  </si>
  <si>
    <t>4.2.4</t>
  </si>
  <si>
    <t>4.2.4.1</t>
  </si>
  <si>
    <t>4.2.4.2</t>
  </si>
  <si>
    <t>4.3.3</t>
  </si>
  <si>
    <t>4.3.4</t>
  </si>
  <si>
    <t>4.3.5</t>
  </si>
  <si>
    <t>4.3.6</t>
  </si>
  <si>
    <t>4.3.7</t>
  </si>
  <si>
    <t>4.3.8</t>
  </si>
  <si>
    <t>4.3.9</t>
  </si>
  <si>
    <t>4.3.10</t>
  </si>
  <si>
    <t>4.3.11</t>
  </si>
  <si>
    <t>4.3.12</t>
  </si>
  <si>
    <t>4.3.13</t>
  </si>
  <si>
    <t>4.3.14</t>
  </si>
  <si>
    <t>4.3.15</t>
  </si>
  <si>
    <t>4.3.16</t>
  </si>
  <si>
    <t>4.3.17</t>
  </si>
  <si>
    <t>4.3.18</t>
  </si>
  <si>
    <t>4.3.19</t>
  </si>
  <si>
    <t>4.3.20</t>
  </si>
  <si>
    <t>4.3.21</t>
  </si>
  <si>
    <t>4.3.22</t>
  </si>
  <si>
    <t>4.3.23</t>
  </si>
  <si>
    <t>4.3.24</t>
  </si>
  <si>
    <t>4.3.25</t>
  </si>
  <si>
    <t>4.3.26</t>
  </si>
  <si>
    <t>4.3.27</t>
  </si>
  <si>
    <t>4.3.28</t>
  </si>
  <si>
    <t>5.1.4</t>
  </si>
  <si>
    <t>5.1.5</t>
  </si>
  <si>
    <t>5.2</t>
  </si>
  <si>
    <t>5.2.1</t>
  </si>
  <si>
    <t>5.2.2</t>
  </si>
  <si>
    <t>5.2.3</t>
  </si>
  <si>
    <t>5.2.4</t>
  </si>
  <si>
    <t>5.2.5</t>
  </si>
  <si>
    <t>5.2.6</t>
  </si>
  <si>
    <t>5.3</t>
  </si>
  <si>
    <t>5.3.1</t>
  </si>
  <si>
    <t>5.3.2</t>
  </si>
  <si>
    <t>5.3.3</t>
  </si>
  <si>
    <t>5.4</t>
  </si>
  <si>
    <t>5.4.1</t>
  </si>
  <si>
    <t>5.5</t>
  </si>
  <si>
    <t>5.5.1</t>
  </si>
  <si>
    <t>5.5.2</t>
  </si>
  <si>
    <t>5.5.3</t>
  </si>
  <si>
    <t>5.6</t>
  </si>
  <si>
    <t>5.6.1</t>
  </si>
  <si>
    <t>6.3</t>
  </si>
  <si>
    <t>6.3.1</t>
  </si>
  <si>
    <t>6.3.2</t>
  </si>
  <si>
    <t>6.4</t>
  </si>
  <si>
    <t>6.4.1</t>
  </si>
  <si>
    <t>6.4.2</t>
  </si>
  <si>
    <t>6.4.3</t>
  </si>
  <si>
    <t>6.4.4</t>
  </si>
  <si>
    <t>6.4.5</t>
  </si>
  <si>
    <t>6.4.6</t>
  </si>
  <si>
    <t>6.5</t>
  </si>
  <si>
    <t>6.5.1</t>
  </si>
  <si>
    <t>6.6</t>
  </si>
  <si>
    <t>6.6.1</t>
  </si>
  <si>
    <t>6.6.2</t>
  </si>
  <si>
    <t>6.7</t>
  </si>
  <si>
    <t>6.7.1</t>
  </si>
  <si>
    <t>6.7.2</t>
  </si>
  <si>
    <t>6.7.3</t>
  </si>
  <si>
    <t>6.7.4</t>
  </si>
  <si>
    <t>6.7.5</t>
  </si>
  <si>
    <t>6.7.6</t>
  </si>
  <si>
    <t>6.7.7</t>
  </si>
  <si>
    <t>6.7.8</t>
  </si>
  <si>
    <t>6.7.9</t>
  </si>
  <si>
    <t>7.1.3</t>
  </si>
  <si>
    <t>7.1.4</t>
  </si>
  <si>
    <t>7.1.5</t>
  </si>
  <si>
    <t>7.1.6</t>
  </si>
  <si>
    <t>7.1.7</t>
  </si>
  <si>
    <t>7.1.8</t>
  </si>
  <si>
    <t>7.1.9</t>
  </si>
  <si>
    <t>7.1.10</t>
  </si>
  <si>
    <t>7.1.11</t>
  </si>
  <si>
    <t>7.1.12</t>
  </si>
  <si>
    <t>7.1.13</t>
  </si>
  <si>
    <t>7.1.14</t>
  </si>
  <si>
    <t>7.1.15</t>
  </si>
  <si>
    <t>ÁGUA FRIA</t>
  </si>
  <si>
    <t>7.2.1.16</t>
  </si>
  <si>
    <t>7.2.1.17</t>
  </si>
  <si>
    <t>7.2.1.18</t>
  </si>
  <si>
    <t>7.2.1.19</t>
  </si>
  <si>
    <t>7.2.1.20</t>
  </si>
  <si>
    <t>7.2.2</t>
  </si>
  <si>
    <t>7.2.2.1</t>
  </si>
  <si>
    <t>7.2.2.2</t>
  </si>
  <si>
    <t>7.2.2.3</t>
  </si>
  <si>
    <t>7.2.2.4</t>
  </si>
  <si>
    <t>7.2.2.5</t>
  </si>
  <si>
    <t>7.3</t>
  </si>
  <si>
    <t>ESGOTO</t>
  </si>
  <si>
    <t>7.3.1</t>
  </si>
  <si>
    <t>7.3.1.1</t>
  </si>
  <si>
    <t>7.3.1.2</t>
  </si>
  <si>
    <t>7.3.1.3</t>
  </si>
  <si>
    <t>7.3.1.4</t>
  </si>
  <si>
    <t>7.3.1.5</t>
  </si>
  <si>
    <t>7.3.1.6</t>
  </si>
  <si>
    <t>7.3.1.7</t>
  </si>
  <si>
    <t>7.3.1.8</t>
  </si>
  <si>
    <t>7.3.1.9</t>
  </si>
  <si>
    <t>7.3.1.10</t>
  </si>
  <si>
    <t>7.3.1.11</t>
  </si>
  <si>
    <t>7.3.1.12</t>
  </si>
  <si>
    <t>7.3.1.13</t>
  </si>
  <si>
    <t>7.3.1.14</t>
  </si>
  <si>
    <t>7.3.1.15</t>
  </si>
  <si>
    <t>7.3.1.16</t>
  </si>
  <si>
    <t>7.3.1.17</t>
  </si>
  <si>
    <t>7.3.1.18</t>
  </si>
  <si>
    <t>7.3.1.19</t>
  </si>
  <si>
    <t>7.3.1.20</t>
  </si>
  <si>
    <t>7.3.1.21</t>
  </si>
  <si>
    <t>8.3</t>
  </si>
  <si>
    <t>8.4</t>
  </si>
  <si>
    <t>8.5</t>
  </si>
  <si>
    <t>9.4</t>
  </si>
  <si>
    <t>9.5</t>
  </si>
  <si>
    <t>9.6</t>
  </si>
  <si>
    <t>9.7</t>
  </si>
  <si>
    <t>9.8</t>
  </si>
  <si>
    <t>9.9</t>
  </si>
  <si>
    <t>9.10</t>
  </si>
  <si>
    <t>9.11</t>
  </si>
  <si>
    <t>9.12</t>
  </si>
  <si>
    <t>9.13</t>
  </si>
  <si>
    <t>9.14</t>
  </si>
  <si>
    <t>9.15</t>
  </si>
  <si>
    <t>GOVERNO DO ESTADO DE PERNAMBUCO</t>
  </si>
  <si>
    <t>2.2.5</t>
  </si>
  <si>
    <t>2.2.5.1</t>
  </si>
  <si>
    <t>2.2.5.2</t>
  </si>
  <si>
    <t>2.2.5.3</t>
  </si>
  <si>
    <t>2.2.5.4</t>
  </si>
  <si>
    <t>2.2.5.5</t>
  </si>
  <si>
    <t>2.2.5.6</t>
  </si>
  <si>
    <t>2.2.5.7</t>
  </si>
  <si>
    <t>CUSTO UNITÁRIO</t>
  </si>
  <si>
    <t>PREÇO UNITÁRIO</t>
  </si>
  <si>
    <t>BDI ADOTADO</t>
  </si>
  <si>
    <t>BDI EQUIPAMENTO/ COTAÇÃO</t>
  </si>
  <si>
    <t>BDI EQUIPAMENTO/COTAÇÃO</t>
  </si>
  <si>
    <t>EXECUÇÃO DA OBRA DE REQUALIFICAÇÃO DO PAÇO MUNICIPAL DE GOIANA PARA IMPLANTAÇÃO DE ESPAÇO CULTURAL E CENTRO DE ATENDIMENTO AO TURISTA – CAT</t>
  </si>
  <si>
    <t>SECRETARIA DE TURISMO, ESPORTE E LAZER - SETUREL/PE</t>
  </si>
</sst>
</file>

<file path=xl/styles.xml><?xml version="1.0" encoding="utf-8"?>
<styleSheet xmlns="http://schemas.openxmlformats.org/spreadsheetml/2006/main">
  <numFmts count="6">
    <numFmt numFmtId="44" formatCode="_-&quot;R$&quot;\ * #,##0.00_-;\-&quot;R$&quot;\ * #,##0.00_-;_-&quot;R$&quot;\ * &quot;-&quot;??_-;_-@_-"/>
    <numFmt numFmtId="43" formatCode="_-* #,##0.00_-;\-* #,##0.00_-;_-* &quot;-&quot;??_-;_-@_-"/>
    <numFmt numFmtId="164" formatCode="mmmm/yyyy"/>
    <numFmt numFmtId="165" formatCode="&quot;R$&quot;\ #,##0.00"/>
    <numFmt numFmtId="166" formatCode="0.0000%"/>
    <numFmt numFmtId="167" formatCode="_-&quot;R$&quot;\ * #,##0.00000_-;\-&quot;R$&quot;\ * #,##0.00000_-;_-&quot;R$&quot;\ * &quot;-&quot;??_-;_-@_-"/>
  </numFmts>
  <fonts count="21">
    <font>
      <sz val="11"/>
      <color theme="1"/>
      <name val="Calibri"/>
      <family val="2"/>
      <scheme val="minor"/>
    </font>
    <font>
      <sz val="11"/>
      <color theme="1"/>
      <name val="Arial Narrow"/>
      <family val="2"/>
    </font>
    <font>
      <b/>
      <sz val="11"/>
      <color theme="1"/>
      <name val="Arial Narrow"/>
      <family val="2"/>
    </font>
    <font>
      <b/>
      <sz val="11"/>
      <color theme="0"/>
      <name val="Arial Narrow"/>
      <family val="2"/>
    </font>
    <font>
      <sz val="10"/>
      <name val="Arial"/>
      <family val="2"/>
    </font>
    <font>
      <b/>
      <sz val="12"/>
      <name val="Arial Narrow"/>
      <family val="2"/>
    </font>
    <font>
      <b/>
      <sz val="10"/>
      <name val="Arial Narrow"/>
      <family val="2"/>
    </font>
    <font>
      <sz val="12"/>
      <name val="Arial Narrow"/>
      <family val="2"/>
    </font>
    <font>
      <sz val="10"/>
      <name val="Arial Narrow"/>
      <family val="2"/>
    </font>
    <font>
      <b/>
      <sz val="10"/>
      <color theme="0"/>
      <name val="Arial Narrow"/>
      <family val="2"/>
    </font>
    <font>
      <b/>
      <sz val="12"/>
      <color theme="0"/>
      <name val="Arial Narrow"/>
      <family val="2"/>
    </font>
    <font>
      <sz val="10"/>
      <color theme="0"/>
      <name val="Arial Narrow"/>
      <family val="2"/>
    </font>
    <font>
      <sz val="11"/>
      <color theme="1"/>
      <name val="Calibri"/>
      <family val="2"/>
      <scheme val="minor"/>
    </font>
    <font>
      <sz val="11"/>
      <name val="Arial Narrow"/>
      <family val="2"/>
    </font>
    <font>
      <b/>
      <sz val="11"/>
      <name val="Arial Narrow"/>
      <family val="2"/>
    </font>
    <font>
      <sz val="11"/>
      <color theme="0"/>
      <name val="Arial Narrow"/>
      <family val="2"/>
    </font>
    <font>
      <sz val="11"/>
      <color theme="0" tint="-0.34998626667073579"/>
      <name val="Arial Narrow"/>
      <family val="2"/>
    </font>
    <font>
      <b/>
      <sz val="11"/>
      <color theme="0" tint="-0.34998626667073579"/>
      <name val="Arial Narrow"/>
      <family val="2"/>
    </font>
    <font>
      <sz val="11"/>
      <color rgb="FF00B050"/>
      <name val="Arial Narrow"/>
      <family val="2"/>
    </font>
    <font>
      <sz val="11"/>
      <color theme="0" tint="-4.9989318521683403E-2"/>
      <name val="Arial Narrow"/>
      <family val="2"/>
    </font>
    <font>
      <sz val="11"/>
      <color theme="0" tint="-0.499984740745262"/>
      <name val="Arial Narrow"/>
      <family val="2"/>
    </font>
  </fonts>
  <fills count="9">
    <fill>
      <patternFill patternType="none"/>
    </fill>
    <fill>
      <patternFill patternType="gray125"/>
    </fill>
    <fill>
      <patternFill patternType="solid">
        <fgColor theme="3" tint="-0.49998474074526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s>
  <borders count="76">
    <border>
      <left/>
      <right/>
      <top/>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hair">
        <color auto="1"/>
      </top>
      <bottom style="hair">
        <color auto="1"/>
      </bottom>
      <diagonal/>
    </border>
    <border>
      <left/>
      <right style="thin">
        <color auto="1"/>
      </right>
      <top style="medium">
        <color indexed="64"/>
      </top>
      <bottom style="medium">
        <color indexed="64"/>
      </bottom>
      <diagonal/>
    </border>
    <border>
      <left/>
      <right style="thin">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style="thin">
        <color auto="1"/>
      </right>
      <top/>
      <bottom style="hair">
        <color auto="1"/>
      </bottom>
      <diagonal/>
    </border>
    <border>
      <left style="thin">
        <color auto="1"/>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medium">
        <color indexed="64"/>
      </left>
      <right style="thin">
        <color auto="1"/>
      </right>
      <top style="hair">
        <color auto="1"/>
      </top>
      <bottom/>
      <diagonal/>
    </border>
    <border>
      <left style="thin">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auto="1"/>
      </right>
      <top style="hair">
        <color auto="1"/>
      </top>
      <bottom/>
      <diagonal/>
    </border>
    <border>
      <left style="thin">
        <color auto="1"/>
      </left>
      <right style="medium">
        <color indexed="64"/>
      </right>
      <top style="hair">
        <color auto="1"/>
      </top>
      <bottom/>
      <diagonal/>
    </border>
    <border>
      <left/>
      <right style="thin">
        <color auto="1"/>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right style="thin">
        <color indexed="64"/>
      </right>
      <top style="medium">
        <color auto="1"/>
      </top>
      <bottom/>
      <diagonal/>
    </border>
    <border>
      <left/>
      <right style="thin">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right style="thin">
        <color auto="1"/>
      </right>
      <top style="medium">
        <color indexed="64"/>
      </top>
      <bottom style="hair">
        <color auto="1"/>
      </bottom>
      <diagonal/>
    </border>
    <border>
      <left/>
      <right style="thin">
        <color auto="1"/>
      </right>
      <top style="hair">
        <color auto="1"/>
      </top>
      <bottom style="medium">
        <color indexed="64"/>
      </bottom>
      <diagonal/>
    </border>
    <border>
      <left style="thin">
        <color auto="1"/>
      </left>
      <right/>
      <top style="medium">
        <color auto="1"/>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indexed="64"/>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4" fillId="0" borderId="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35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right" vertical="top"/>
    </xf>
    <xf numFmtId="0" fontId="1" fillId="0" borderId="6" xfId="0" applyFont="1" applyBorder="1" applyAlignment="1">
      <alignment horizontal="right" vertical="top"/>
    </xf>
    <xf numFmtId="0" fontId="3" fillId="2" borderId="6" xfId="0" applyFont="1" applyFill="1" applyBorder="1" applyAlignment="1">
      <alignment horizontal="right" vertical="top"/>
    </xf>
    <xf numFmtId="0" fontId="3" fillId="3" borderId="6" xfId="0" applyFont="1" applyFill="1" applyBorder="1" applyAlignment="1">
      <alignment horizontal="right" vertical="top"/>
    </xf>
    <xf numFmtId="0" fontId="6" fillId="0" borderId="17" xfId="1" applyFont="1" applyFill="1" applyBorder="1" applyAlignment="1">
      <alignment vertical="center"/>
    </xf>
    <xf numFmtId="0" fontId="7" fillId="0" borderId="0" xfId="1" applyFont="1" applyFill="1" applyBorder="1" applyAlignment="1" applyProtection="1">
      <alignment vertical="center"/>
    </xf>
    <xf numFmtId="0" fontId="6" fillId="0" borderId="20" xfId="1" applyFont="1" applyFill="1" applyBorder="1" applyAlignment="1">
      <alignment horizontal="center" vertical="top"/>
    </xf>
    <xf numFmtId="0" fontId="5" fillId="0" borderId="0" xfId="1" applyFont="1" applyFill="1" applyBorder="1" applyAlignment="1" applyProtection="1">
      <alignment vertical="center"/>
    </xf>
    <xf numFmtId="0" fontId="6" fillId="0" borderId="24" xfId="1" applyFont="1" applyFill="1" applyBorder="1" applyAlignment="1">
      <alignment horizontal="center" vertical="top"/>
    </xf>
    <xf numFmtId="10" fontId="8" fillId="0" borderId="27" xfId="1" applyNumberFormat="1" applyFont="1" applyFill="1" applyBorder="1" applyAlignment="1" applyProtection="1"/>
    <xf numFmtId="0" fontId="6" fillId="0" borderId="28" xfId="1" applyFont="1" applyFill="1" applyBorder="1" applyAlignment="1">
      <alignment horizontal="center" vertical="top"/>
    </xf>
    <xf numFmtId="10" fontId="8" fillId="0" borderId="31" xfId="1" applyNumberFormat="1" applyFont="1" applyFill="1" applyBorder="1" applyAlignment="1" applyProtection="1"/>
    <xf numFmtId="0" fontId="8" fillId="0" borderId="0" xfId="1" applyFont="1" applyFill="1" applyBorder="1" applyAlignment="1">
      <alignment horizontal="center" vertical="top"/>
    </xf>
    <xf numFmtId="0" fontId="8" fillId="0" borderId="0" xfId="1" applyFont="1" applyFill="1" applyBorder="1" applyAlignment="1">
      <alignment horizontal="justify" vertical="top" wrapText="1"/>
    </xf>
    <xf numFmtId="0" fontId="8" fillId="0" borderId="0" xfId="1" applyFont="1" applyFill="1" applyBorder="1" applyAlignment="1">
      <alignment horizontal="center"/>
    </xf>
    <xf numFmtId="0" fontId="11" fillId="2" borderId="0" xfId="0" applyFont="1" applyFill="1" applyAlignment="1">
      <alignment vertical="center"/>
    </xf>
    <xf numFmtId="0" fontId="1" fillId="0" borderId="0" xfId="0" applyFont="1" applyBorder="1" applyAlignment="1">
      <alignment horizontal="center"/>
    </xf>
    <xf numFmtId="0" fontId="1" fillId="0" borderId="42" xfId="0" applyFont="1" applyBorder="1" applyAlignment="1">
      <alignment horizontal="right" vertical="top"/>
    </xf>
    <xf numFmtId="0" fontId="1" fillId="0" borderId="19" xfId="0" applyFont="1" applyBorder="1" applyAlignment="1">
      <alignment horizontal="center"/>
    </xf>
    <xf numFmtId="0" fontId="1" fillId="0" borderId="17" xfId="0" applyFont="1" applyBorder="1" applyAlignment="1">
      <alignment horizontal="right" vertical="top"/>
    </xf>
    <xf numFmtId="0" fontId="1" fillId="0" borderId="13" xfId="0" applyFont="1" applyBorder="1" applyAlignment="1">
      <alignment horizontal="center" vertical="top"/>
    </xf>
    <xf numFmtId="0" fontId="3" fillId="2" borderId="13" xfId="0" applyFont="1" applyFill="1" applyBorder="1" applyAlignment="1">
      <alignment horizontal="center" vertical="top"/>
    </xf>
    <xf numFmtId="0" fontId="3" fillId="3" borderId="13" xfId="0" applyFont="1" applyFill="1" applyBorder="1" applyAlignment="1">
      <alignment horizontal="center" vertical="top"/>
    </xf>
    <xf numFmtId="0" fontId="1" fillId="0" borderId="18" xfId="0" applyFont="1" applyBorder="1" applyAlignment="1">
      <alignment horizontal="center" vertical="top"/>
    </xf>
    <xf numFmtId="0" fontId="1" fillId="0" borderId="0" xfId="0" applyFont="1" applyBorder="1" applyAlignment="1">
      <alignment horizontal="center" vertical="top"/>
    </xf>
    <xf numFmtId="0" fontId="1" fillId="0" borderId="19" xfId="0" applyFont="1" applyBorder="1" applyAlignment="1">
      <alignment horizontal="center" vertical="top"/>
    </xf>
    <xf numFmtId="0" fontId="1" fillId="0" borderId="0" xfId="0" applyFont="1" applyAlignment="1">
      <alignment horizontal="center" vertical="top"/>
    </xf>
    <xf numFmtId="0" fontId="1"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2" borderId="33" xfId="0" applyFont="1" applyFill="1" applyBorder="1" applyAlignment="1">
      <alignment horizontal="center"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Alignment="1">
      <alignment horizontal="left" vertical="top" wrapText="1"/>
    </xf>
    <xf numFmtId="4" fontId="1" fillId="0" borderId="0" xfId="0" applyNumberFormat="1" applyFont="1" applyBorder="1" applyAlignment="1">
      <alignment horizontal="right"/>
    </xf>
    <xf numFmtId="4" fontId="1" fillId="0" borderId="19" xfId="0" applyNumberFormat="1" applyFont="1" applyBorder="1" applyAlignment="1">
      <alignment horizontal="right"/>
    </xf>
    <xf numFmtId="4" fontId="1" fillId="0" borderId="0" xfId="0" applyNumberFormat="1" applyFont="1" applyAlignment="1">
      <alignment horizontal="right"/>
    </xf>
    <xf numFmtId="165" fontId="8" fillId="0" borderId="0" xfId="1" applyNumberFormat="1" applyFont="1" applyFill="1" applyBorder="1" applyAlignment="1">
      <alignment horizontal="right"/>
    </xf>
    <xf numFmtId="165" fontId="1" fillId="0" borderId="17" xfId="0" applyNumberFormat="1" applyFont="1" applyBorder="1" applyAlignment="1">
      <alignment horizontal="right"/>
    </xf>
    <xf numFmtId="165" fontId="1" fillId="0" borderId="0" xfId="0" applyNumberFormat="1" applyFont="1" applyBorder="1" applyAlignment="1">
      <alignment horizontal="right"/>
    </xf>
    <xf numFmtId="165" fontId="1" fillId="0" borderId="19" xfId="0" applyNumberFormat="1" applyFont="1" applyBorder="1" applyAlignment="1">
      <alignment horizontal="right"/>
    </xf>
    <xf numFmtId="165" fontId="1" fillId="0" borderId="0" xfId="0" applyNumberFormat="1" applyFont="1" applyAlignment="1">
      <alignment horizontal="right"/>
    </xf>
    <xf numFmtId="10" fontId="1" fillId="0" borderId="0" xfId="0" applyNumberFormat="1" applyFont="1"/>
    <xf numFmtId="0" fontId="6" fillId="0" borderId="0" xfId="1" applyFont="1" applyFill="1" applyBorder="1" applyAlignment="1">
      <alignment horizontal="center" vertical="top"/>
    </xf>
    <xf numFmtId="0" fontId="6" fillId="0" borderId="0" xfId="1" applyFont="1" applyFill="1" applyBorder="1" applyAlignment="1">
      <alignment horizontal="justify" vertical="top" wrapText="1"/>
    </xf>
    <xf numFmtId="0" fontId="6" fillId="0" borderId="0" xfId="1" applyFont="1" applyFill="1" applyBorder="1" applyAlignment="1">
      <alignment horizontal="center" wrapText="1"/>
    </xf>
    <xf numFmtId="165" fontId="6" fillId="0" borderId="0" xfId="1" applyNumberFormat="1" applyFont="1" applyFill="1" applyBorder="1" applyAlignment="1">
      <alignment horizontal="right" wrapText="1"/>
    </xf>
    <xf numFmtId="0" fontId="8" fillId="0" borderId="0" xfId="0" applyFont="1" applyBorder="1" applyAlignment="1">
      <alignment vertical="center"/>
    </xf>
    <xf numFmtId="0" fontId="6" fillId="0" borderId="14" xfId="1" applyFont="1" applyFill="1" applyBorder="1" applyAlignment="1">
      <alignment vertical="center"/>
    </xf>
    <xf numFmtId="0" fontId="7" fillId="0" borderId="15" xfId="1" applyFont="1" applyFill="1" applyBorder="1" applyAlignment="1" applyProtection="1">
      <alignment vertical="center"/>
    </xf>
    <xf numFmtId="0" fontId="6" fillId="0" borderId="15" xfId="1" applyFont="1" applyFill="1" applyBorder="1" applyAlignment="1">
      <alignment vertical="center"/>
    </xf>
    <xf numFmtId="0" fontId="7" fillId="0" borderId="15" xfId="1" applyFont="1" applyFill="1" applyBorder="1" applyAlignment="1" applyProtection="1">
      <alignment horizontal="right"/>
    </xf>
    <xf numFmtId="0" fontId="7" fillId="0" borderId="16" xfId="1" applyFont="1" applyFill="1" applyBorder="1" applyAlignment="1" applyProtection="1">
      <alignment horizontal="right"/>
    </xf>
    <xf numFmtId="0" fontId="6" fillId="0" borderId="0" xfId="1" applyFont="1" applyFill="1" applyBorder="1" applyAlignment="1">
      <alignment vertical="center"/>
    </xf>
    <xf numFmtId="0" fontId="7" fillId="0" borderId="0" xfId="1" applyFont="1" applyFill="1" applyBorder="1" applyAlignment="1" applyProtection="1">
      <alignment horizontal="right"/>
    </xf>
    <xf numFmtId="0" fontId="7" fillId="0" borderId="18" xfId="1" applyFont="1" applyFill="1" applyBorder="1" applyAlignment="1" applyProtection="1">
      <alignment horizontal="right"/>
    </xf>
    <xf numFmtId="166" fontId="8" fillId="0" borderId="18" xfId="1" applyNumberFormat="1" applyFont="1" applyFill="1" applyBorder="1" applyAlignment="1" applyProtection="1">
      <alignment horizontal="right"/>
    </xf>
    <xf numFmtId="0" fontId="6" fillId="0" borderId="21" xfId="1" applyFont="1" applyBorder="1" applyAlignment="1"/>
    <xf numFmtId="0" fontId="13" fillId="0" borderId="0" xfId="0" applyFont="1"/>
    <xf numFmtId="0" fontId="13" fillId="0" borderId="0" xfId="0" applyFont="1" applyFill="1"/>
    <xf numFmtId="0" fontId="14" fillId="0" borderId="0" xfId="0" applyFont="1" applyFill="1"/>
    <xf numFmtId="10" fontId="14" fillId="0" borderId="54" xfId="3" applyNumberFormat="1" applyFont="1" applyBorder="1" applyAlignment="1"/>
    <xf numFmtId="44" fontId="14" fillId="0" borderId="52" xfId="0" applyNumberFormat="1" applyFont="1" applyFill="1" applyBorder="1" applyAlignment="1">
      <alignment horizontal="center"/>
    </xf>
    <xf numFmtId="0" fontId="9" fillId="2" borderId="51" xfId="1" applyFont="1" applyFill="1" applyBorder="1" applyAlignment="1">
      <alignment horizontal="center" vertical="center"/>
    </xf>
    <xf numFmtId="44" fontId="14" fillId="0" borderId="56" xfId="2" applyFont="1" applyFill="1" applyBorder="1" applyAlignment="1">
      <alignment horizontal="center"/>
    </xf>
    <xf numFmtId="10" fontId="14" fillId="0" borderId="57" xfId="3" applyNumberFormat="1" applyFont="1" applyBorder="1" applyAlignment="1"/>
    <xf numFmtId="44" fontId="14" fillId="0" borderId="56" xfId="0" applyNumberFormat="1" applyFont="1" applyFill="1" applyBorder="1" applyAlignment="1">
      <alignment horizontal="center"/>
    </xf>
    <xf numFmtId="44" fontId="14" fillId="0" borderId="53" xfId="2" applyFont="1" applyFill="1" applyBorder="1" applyAlignment="1">
      <alignment horizontal="left" vertical="top" wrapText="1"/>
    </xf>
    <xf numFmtId="10" fontId="14" fillId="0" borderId="55" xfId="3" applyNumberFormat="1" applyFont="1" applyFill="1" applyBorder="1" applyAlignment="1">
      <alignment horizontal="right" vertical="top" wrapText="1"/>
    </xf>
    <xf numFmtId="44" fontId="13" fillId="0" borderId="53" xfId="2" applyFont="1" applyFill="1" applyBorder="1" applyAlignment="1">
      <alignment horizontal="left" vertical="top" wrapText="1"/>
    </xf>
    <xf numFmtId="0" fontId="15" fillId="0" borderId="6" xfId="0" applyFont="1" applyBorder="1" applyAlignment="1">
      <alignment horizontal="right" vertical="top"/>
    </xf>
    <xf numFmtId="0" fontId="15" fillId="0" borderId="13" xfId="0" applyFont="1" applyBorder="1" applyAlignment="1">
      <alignment horizontal="center" vertical="top"/>
    </xf>
    <xf numFmtId="0" fontId="15" fillId="0" borderId="1" xfId="0" applyFont="1" applyBorder="1" applyAlignment="1">
      <alignment horizontal="left" vertical="top" wrapText="1"/>
    </xf>
    <xf numFmtId="0" fontId="13" fillId="0" borderId="6" xfId="0" applyFont="1" applyBorder="1" applyAlignment="1">
      <alignment horizontal="right" vertical="top"/>
    </xf>
    <xf numFmtId="0" fontId="13" fillId="0" borderId="13" xfId="0" applyFont="1" applyBorder="1" applyAlignment="1">
      <alignment horizontal="center" vertical="top"/>
    </xf>
    <xf numFmtId="0" fontId="13" fillId="0" borderId="1" xfId="0" applyFont="1" applyBorder="1" applyAlignment="1">
      <alignment horizontal="left" vertical="top" wrapText="1"/>
    </xf>
    <xf numFmtId="0" fontId="13" fillId="6" borderId="6" xfId="0" applyFont="1" applyFill="1" applyBorder="1" applyAlignment="1">
      <alignment horizontal="right" vertical="top"/>
    </xf>
    <xf numFmtId="0" fontId="13" fillId="6" borderId="13" xfId="0" applyFont="1" applyFill="1" applyBorder="1" applyAlignment="1">
      <alignment horizontal="center" vertical="top"/>
    </xf>
    <xf numFmtId="0" fontId="13" fillId="6" borderId="1" xfId="0" applyFont="1" applyFill="1" applyBorder="1" applyAlignment="1">
      <alignment horizontal="left" vertical="top" wrapText="1"/>
    </xf>
    <xf numFmtId="0" fontId="14" fillId="6" borderId="6" xfId="0" applyFont="1" applyFill="1" applyBorder="1" applyAlignment="1">
      <alignment horizontal="right" vertical="top"/>
    </xf>
    <xf numFmtId="0" fontId="14" fillId="6" borderId="13" xfId="0" applyFont="1" applyFill="1" applyBorder="1" applyAlignment="1">
      <alignment horizontal="center" vertical="top"/>
    </xf>
    <xf numFmtId="0" fontId="14" fillId="6" borderId="1" xfId="0" applyFont="1" applyFill="1" applyBorder="1" applyAlignment="1">
      <alignment horizontal="left" vertical="top" wrapText="1"/>
    </xf>
    <xf numFmtId="0" fontId="16" fillId="6" borderId="6" xfId="0" applyFont="1" applyFill="1" applyBorder="1" applyAlignment="1">
      <alignment horizontal="right" vertical="top"/>
    </xf>
    <xf numFmtId="0" fontId="16" fillId="6" borderId="13" xfId="0" applyFont="1" applyFill="1" applyBorder="1" applyAlignment="1">
      <alignment horizontal="center" vertical="top"/>
    </xf>
    <xf numFmtId="0" fontId="16" fillId="6" borderId="1" xfId="0" applyFont="1" applyFill="1" applyBorder="1" applyAlignment="1">
      <alignment horizontal="left" vertical="top" wrapText="1"/>
    </xf>
    <xf numFmtId="0" fontId="3" fillId="3" borderId="40" xfId="0" applyFont="1" applyFill="1" applyBorder="1" applyAlignment="1">
      <alignment horizontal="right" vertical="top"/>
    </xf>
    <xf numFmtId="0" fontId="3" fillId="3" borderId="45" xfId="0" applyFont="1" applyFill="1" applyBorder="1" applyAlignment="1">
      <alignment horizontal="center" vertical="top"/>
    </xf>
    <xf numFmtId="0" fontId="3" fillId="3" borderId="34" xfId="0" applyFont="1" applyFill="1" applyBorder="1" applyAlignment="1">
      <alignment horizontal="left" vertical="top" wrapText="1"/>
    </xf>
    <xf numFmtId="0" fontId="13" fillId="0" borderId="1" xfId="0" applyFont="1" applyBorder="1" applyAlignment="1">
      <alignment horizontal="center" vertical="top"/>
    </xf>
    <xf numFmtId="0" fontId="14" fillId="7" borderId="6" xfId="0" applyFont="1" applyFill="1" applyBorder="1" applyAlignment="1">
      <alignment horizontal="right" vertical="top"/>
    </xf>
    <xf numFmtId="0" fontId="14" fillId="7" borderId="1" xfId="0" applyFont="1" applyFill="1" applyBorder="1" applyAlignment="1">
      <alignment horizontal="center" vertical="top"/>
    </xf>
    <xf numFmtId="0" fontId="14" fillId="7" borderId="1" xfId="0" applyFont="1" applyFill="1" applyBorder="1" applyAlignment="1">
      <alignment horizontal="left" vertical="top" wrapText="1"/>
    </xf>
    <xf numFmtId="0" fontId="14" fillId="0" borderId="6" xfId="0" applyFont="1" applyBorder="1" applyAlignment="1">
      <alignment horizontal="right" vertical="top"/>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13" fillId="0" borderId="40" xfId="0" applyFont="1" applyBorder="1" applyAlignment="1">
      <alignment horizontal="right" vertical="top"/>
    </xf>
    <xf numFmtId="0" fontId="13" fillId="0" borderId="34" xfId="0" applyFont="1" applyBorder="1" applyAlignment="1">
      <alignment horizontal="center" vertical="top"/>
    </xf>
    <xf numFmtId="0" fontId="13" fillId="0" borderId="34" xfId="0" applyFont="1" applyBorder="1" applyAlignment="1">
      <alignment horizontal="left" vertical="top" wrapText="1"/>
    </xf>
    <xf numFmtId="0" fontId="14" fillId="0" borderId="24" xfId="0" applyFont="1" applyBorder="1" applyAlignment="1">
      <alignment horizontal="right" vertical="top"/>
    </xf>
    <xf numFmtId="0" fontId="14" fillId="0" borderId="25" xfId="0" applyFont="1" applyBorder="1" applyAlignment="1">
      <alignment horizontal="center" vertical="top"/>
    </xf>
    <xf numFmtId="0" fontId="14" fillId="0" borderId="25" xfId="0" applyFont="1" applyBorder="1" applyAlignment="1">
      <alignment horizontal="left" vertical="top" wrapText="1"/>
    </xf>
    <xf numFmtId="0" fontId="13" fillId="0" borderId="36" xfId="0" applyFont="1" applyBorder="1" applyAlignment="1">
      <alignment horizontal="right" vertical="top"/>
    </xf>
    <xf numFmtId="0" fontId="13" fillId="0" borderId="35" xfId="0" applyFont="1" applyBorder="1" applyAlignment="1">
      <alignment horizontal="center" vertical="top"/>
    </xf>
    <xf numFmtId="0" fontId="13" fillId="0" borderId="35" xfId="0" applyFont="1" applyBorder="1" applyAlignment="1">
      <alignment horizontal="left" vertical="top" wrapText="1"/>
    </xf>
    <xf numFmtId="0" fontId="3" fillId="3" borderId="36" xfId="0" applyFont="1" applyFill="1" applyBorder="1" applyAlignment="1">
      <alignment horizontal="right" vertical="top"/>
    </xf>
    <xf numFmtId="0" fontId="3" fillId="3" borderId="47" xfId="0" applyFont="1" applyFill="1" applyBorder="1" applyAlignment="1">
      <alignment horizontal="right" vertical="top"/>
    </xf>
    <xf numFmtId="0" fontId="3" fillId="3" borderId="35" xfId="0" applyFont="1" applyFill="1" applyBorder="1" applyAlignment="1">
      <alignment horizontal="left" vertical="top"/>
    </xf>
    <xf numFmtId="0" fontId="14" fillId="0" borderId="13" xfId="0" applyFont="1" applyBorder="1" applyAlignment="1">
      <alignment horizontal="center" vertical="top"/>
    </xf>
    <xf numFmtId="0" fontId="16" fillId="0" borderId="6" xfId="0" applyFont="1" applyBorder="1" applyAlignment="1">
      <alignment horizontal="right" vertical="top"/>
    </xf>
    <xf numFmtId="0" fontId="16" fillId="0" borderId="13" xfId="0" applyFont="1" applyBorder="1" applyAlignment="1">
      <alignment horizontal="center" vertical="top"/>
    </xf>
    <xf numFmtId="0" fontId="16" fillId="0" borderId="1" xfId="0" applyFont="1" applyBorder="1" applyAlignment="1">
      <alignment horizontal="left" vertical="top" wrapText="1"/>
    </xf>
    <xf numFmtId="0" fontId="13" fillId="0" borderId="17" xfId="0" applyFont="1" applyBorder="1" applyAlignment="1">
      <alignment horizontal="right" vertical="top"/>
    </xf>
    <xf numFmtId="0" fontId="13" fillId="0" borderId="18" xfId="0" applyFont="1" applyBorder="1" applyAlignment="1">
      <alignment horizontal="center" vertical="top"/>
    </xf>
    <xf numFmtId="0" fontId="14" fillId="0" borderId="36" xfId="0" applyFont="1" applyBorder="1" applyAlignment="1">
      <alignment horizontal="center" vertical="top"/>
    </xf>
    <xf numFmtId="0" fontId="14" fillId="0" borderId="35" xfId="0" applyFont="1" applyBorder="1" applyAlignment="1">
      <alignment horizontal="left" vertical="top" wrapText="1"/>
    </xf>
    <xf numFmtId="165" fontId="13" fillId="0" borderId="17" xfId="0" applyNumberFormat="1" applyFont="1" applyBorder="1" applyAlignment="1">
      <alignment horizontal="right"/>
    </xf>
    <xf numFmtId="165" fontId="13" fillId="0" borderId="0" xfId="0" applyNumberFormat="1" applyFont="1" applyBorder="1" applyAlignment="1">
      <alignment horizontal="right"/>
    </xf>
    <xf numFmtId="0" fontId="14" fillId="0" borderId="6" xfId="0" applyFont="1" applyBorder="1" applyAlignment="1">
      <alignment horizontal="center" vertical="top"/>
    </xf>
    <xf numFmtId="0" fontId="14" fillId="0" borderId="40" xfId="0" applyFont="1" applyBorder="1" applyAlignment="1">
      <alignment horizontal="center" vertical="top"/>
    </xf>
    <xf numFmtId="0" fontId="14" fillId="0" borderId="34" xfId="0" applyFont="1" applyBorder="1" applyAlignment="1">
      <alignment horizontal="left" vertical="top" wrapText="1"/>
    </xf>
    <xf numFmtId="0" fontId="1" fillId="0" borderId="1" xfId="0" applyFont="1" applyBorder="1" applyAlignment="1">
      <alignment horizontal="center" vertical="top"/>
    </xf>
    <xf numFmtId="4" fontId="1" fillId="0" borderId="1" xfId="0" applyNumberFormat="1" applyFont="1" applyBorder="1" applyAlignment="1">
      <alignment horizontal="right" vertical="top"/>
    </xf>
    <xf numFmtId="165" fontId="1" fillId="0" borderId="11" xfId="0" applyNumberFormat="1" applyFont="1" applyBorder="1" applyAlignment="1">
      <alignment horizontal="right" vertical="top"/>
    </xf>
    <xf numFmtId="10" fontId="1" fillId="0" borderId="7" xfId="0" applyNumberFormat="1" applyFont="1" applyBorder="1" applyAlignment="1">
      <alignment horizontal="right" vertical="top"/>
    </xf>
    <xf numFmtId="0" fontId="3" fillId="2" borderId="1" xfId="0" applyFont="1" applyFill="1" applyBorder="1" applyAlignment="1">
      <alignment horizontal="center" vertical="top"/>
    </xf>
    <xf numFmtId="4" fontId="3" fillId="2" borderId="1" xfId="0" applyNumberFormat="1" applyFont="1" applyFill="1" applyBorder="1" applyAlignment="1">
      <alignment horizontal="right" vertical="top"/>
    </xf>
    <xf numFmtId="165" fontId="3" fillId="2" borderId="11" xfId="0" applyNumberFormat="1" applyFont="1" applyFill="1" applyBorder="1" applyAlignment="1">
      <alignment horizontal="right" vertical="top"/>
    </xf>
    <xf numFmtId="10" fontId="3" fillId="2" borderId="7" xfId="0" applyNumberFormat="1" applyFont="1" applyFill="1" applyBorder="1" applyAlignment="1">
      <alignment horizontal="right" vertical="top"/>
    </xf>
    <xf numFmtId="0" fontId="15" fillId="0" borderId="1" xfId="0" applyFont="1" applyBorder="1" applyAlignment="1">
      <alignment horizontal="center" vertical="top"/>
    </xf>
    <xf numFmtId="4" fontId="15" fillId="0" borderId="1" xfId="0" applyNumberFormat="1" applyFont="1" applyBorder="1" applyAlignment="1">
      <alignment horizontal="right" vertical="top"/>
    </xf>
    <xf numFmtId="165" fontId="15" fillId="0" borderId="11" xfId="0" applyNumberFormat="1" applyFont="1" applyBorder="1" applyAlignment="1">
      <alignment horizontal="right" vertical="top"/>
    </xf>
    <xf numFmtId="10" fontId="15" fillId="0" borderId="7" xfId="0" applyNumberFormat="1" applyFont="1" applyBorder="1" applyAlignment="1">
      <alignment horizontal="right" vertical="top"/>
    </xf>
    <xf numFmtId="0" fontId="3" fillId="3" borderId="1" xfId="0" applyFont="1" applyFill="1" applyBorder="1" applyAlignment="1">
      <alignment horizontal="center" vertical="top"/>
    </xf>
    <xf numFmtId="4" fontId="3" fillId="3" borderId="1" xfId="0" applyNumberFormat="1" applyFont="1" applyFill="1" applyBorder="1" applyAlignment="1">
      <alignment horizontal="right" vertical="top"/>
    </xf>
    <xf numFmtId="165" fontId="3" fillId="3" borderId="11" xfId="0" applyNumberFormat="1" applyFont="1" applyFill="1" applyBorder="1" applyAlignment="1">
      <alignment horizontal="right" vertical="top"/>
    </xf>
    <xf numFmtId="10" fontId="3" fillId="3" borderId="7" xfId="0" applyNumberFormat="1" applyFont="1" applyFill="1" applyBorder="1" applyAlignment="1">
      <alignment horizontal="right" vertical="top"/>
    </xf>
    <xf numFmtId="4" fontId="13" fillId="0" borderId="1" xfId="0" applyNumberFormat="1" applyFont="1" applyBorder="1" applyAlignment="1">
      <alignment horizontal="right" vertical="top"/>
    </xf>
    <xf numFmtId="165" fontId="13" fillId="0" borderId="11" xfId="0" applyNumberFormat="1" applyFont="1" applyBorder="1" applyAlignment="1">
      <alignment horizontal="right" vertical="top"/>
    </xf>
    <xf numFmtId="10" fontId="13" fillId="0" borderId="7" xfId="0" applyNumberFormat="1" applyFont="1" applyBorder="1" applyAlignment="1">
      <alignment horizontal="right" vertical="top"/>
    </xf>
    <xf numFmtId="0" fontId="13" fillId="6" borderId="1" xfId="0" applyFont="1" applyFill="1" applyBorder="1" applyAlignment="1">
      <alignment horizontal="center" vertical="top"/>
    </xf>
    <xf numFmtId="4" fontId="13" fillId="6" borderId="1" xfId="0" applyNumberFormat="1" applyFont="1" applyFill="1" applyBorder="1" applyAlignment="1">
      <alignment horizontal="right" vertical="top"/>
    </xf>
    <xf numFmtId="165" fontId="13" fillId="6" borderId="11" xfId="0" applyNumberFormat="1" applyFont="1" applyFill="1" applyBorder="1" applyAlignment="1">
      <alignment horizontal="right" vertical="top"/>
    </xf>
    <xf numFmtId="10" fontId="13" fillId="6" borderId="7" xfId="0" applyNumberFormat="1" applyFont="1" applyFill="1" applyBorder="1" applyAlignment="1">
      <alignment horizontal="right" vertical="top"/>
    </xf>
    <xf numFmtId="0" fontId="14" fillId="6" borderId="1" xfId="0" applyFont="1" applyFill="1" applyBorder="1" applyAlignment="1">
      <alignment horizontal="center" vertical="top"/>
    </xf>
    <xf numFmtId="4" fontId="14" fillId="6" borderId="1" xfId="0" applyNumberFormat="1" applyFont="1" applyFill="1" applyBorder="1" applyAlignment="1">
      <alignment horizontal="right" vertical="top"/>
    </xf>
    <xf numFmtId="165" fontId="14" fillId="6" borderId="11" xfId="0" applyNumberFormat="1" applyFont="1" applyFill="1" applyBorder="1" applyAlignment="1">
      <alignment horizontal="right" vertical="top"/>
    </xf>
    <xf numFmtId="10" fontId="14" fillId="6" borderId="7" xfId="0" applyNumberFormat="1" applyFont="1" applyFill="1" applyBorder="1" applyAlignment="1">
      <alignment horizontal="right" vertical="top"/>
    </xf>
    <xf numFmtId="0" fontId="16" fillId="6" borderId="1" xfId="0" applyFont="1" applyFill="1" applyBorder="1" applyAlignment="1">
      <alignment horizontal="center" vertical="top"/>
    </xf>
    <xf numFmtId="4" fontId="16" fillId="6" borderId="1" xfId="0" applyNumberFormat="1" applyFont="1" applyFill="1" applyBorder="1" applyAlignment="1">
      <alignment horizontal="right" vertical="top"/>
    </xf>
    <xf numFmtId="165" fontId="16" fillId="6" borderId="11" xfId="0" applyNumberFormat="1" applyFont="1" applyFill="1" applyBorder="1" applyAlignment="1">
      <alignment horizontal="right" vertical="top"/>
    </xf>
    <xf numFmtId="10" fontId="16" fillId="6" borderId="7" xfId="0" applyNumberFormat="1" applyFont="1" applyFill="1" applyBorder="1" applyAlignment="1">
      <alignment horizontal="right" vertical="top"/>
    </xf>
    <xf numFmtId="0" fontId="3" fillId="3" borderId="34" xfId="0" applyFont="1" applyFill="1" applyBorder="1" applyAlignment="1">
      <alignment horizontal="center" vertical="top"/>
    </xf>
    <xf numFmtId="4" fontId="3" fillId="3" borderId="34" xfId="0" applyNumberFormat="1" applyFont="1" applyFill="1" applyBorder="1" applyAlignment="1">
      <alignment horizontal="right" vertical="top"/>
    </xf>
    <xf numFmtId="165" fontId="3" fillId="3" borderId="41" xfId="0" applyNumberFormat="1" applyFont="1" applyFill="1" applyBorder="1" applyAlignment="1">
      <alignment horizontal="right" vertical="top"/>
    </xf>
    <xf numFmtId="10" fontId="3" fillId="3" borderId="46" xfId="0" applyNumberFormat="1" applyFont="1" applyFill="1" applyBorder="1" applyAlignment="1">
      <alignment horizontal="right" vertical="top"/>
    </xf>
    <xf numFmtId="165" fontId="13" fillId="0" borderId="1" xfId="0" applyNumberFormat="1" applyFont="1" applyBorder="1" applyAlignment="1">
      <alignment horizontal="right" vertical="top"/>
    </xf>
    <xf numFmtId="10" fontId="13" fillId="0" borderId="1" xfId="0" applyNumberFormat="1" applyFont="1" applyBorder="1" applyAlignment="1">
      <alignment horizontal="right" vertical="top"/>
    </xf>
    <xf numFmtId="4" fontId="14" fillId="7" borderId="1" xfId="0" applyNumberFormat="1" applyFont="1" applyFill="1" applyBorder="1" applyAlignment="1">
      <alignment horizontal="right" vertical="top"/>
    </xf>
    <xf numFmtId="165" fontId="14" fillId="7" borderId="1" xfId="0" applyNumberFormat="1" applyFont="1" applyFill="1" applyBorder="1" applyAlignment="1">
      <alignment horizontal="right" vertical="top"/>
    </xf>
    <xf numFmtId="10" fontId="14" fillId="7" borderId="1" xfId="0" applyNumberFormat="1" applyFont="1" applyFill="1" applyBorder="1" applyAlignment="1">
      <alignment horizontal="right" vertical="top"/>
    </xf>
    <xf numFmtId="4" fontId="14" fillId="0" borderId="1" xfId="0" applyNumberFormat="1" applyFont="1" applyBorder="1" applyAlignment="1">
      <alignment horizontal="right" vertical="top"/>
    </xf>
    <xf numFmtId="165" fontId="14" fillId="0" borderId="1" xfId="0" applyNumberFormat="1" applyFont="1" applyBorder="1" applyAlignment="1">
      <alignment horizontal="right" vertical="top"/>
    </xf>
    <xf numFmtId="10" fontId="14" fillId="0" borderId="1" xfId="0" applyNumberFormat="1" applyFont="1" applyBorder="1" applyAlignment="1">
      <alignment horizontal="right" vertical="top"/>
    </xf>
    <xf numFmtId="4" fontId="13" fillId="0" borderId="34" xfId="0" applyNumberFormat="1" applyFont="1" applyBorder="1" applyAlignment="1">
      <alignment horizontal="right" vertical="top"/>
    </xf>
    <xf numFmtId="165" fontId="13" fillId="0" borderId="34" xfId="0" applyNumberFormat="1" applyFont="1" applyBorder="1" applyAlignment="1">
      <alignment horizontal="right" vertical="top"/>
    </xf>
    <xf numFmtId="10" fontId="13" fillId="0" borderId="34" xfId="0" applyNumberFormat="1" applyFont="1" applyBorder="1" applyAlignment="1">
      <alignment horizontal="right" vertical="top"/>
    </xf>
    <xf numFmtId="4" fontId="14" fillId="0" borderId="25" xfId="0" applyNumberFormat="1" applyFont="1" applyBorder="1" applyAlignment="1">
      <alignment horizontal="right" vertical="top"/>
    </xf>
    <xf numFmtId="165" fontId="14" fillId="0" borderId="25" xfId="0" applyNumberFormat="1" applyFont="1" applyBorder="1" applyAlignment="1">
      <alignment horizontal="right" vertical="top"/>
    </xf>
    <xf numFmtId="10" fontId="14" fillId="0" borderId="25" xfId="0" applyNumberFormat="1" applyFont="1" applyBorder="1" applyAlignment="1">
      <alignment horizontal="right" vertical="top"/>
    </xf>
    <xf numFmtId="4" fontId="13" fillId="0" borderId="35" xfId="0" applyNumberFormat="1" applyFont="1" applyBorder="1" applyAlignment="1">
      <alignment horizontal="right" vertical="top"/>
    </xf>
    <xf numFmtId="165" fontId="13" fillId="0" borderId="35" xfId="0" applyNumberFormat="1" applyFont="1" applyBorder="1" applyAlignment="1">
      <alignment horizontal="right" vertical="top"/>
    </xf>
    <xf numFmtId="10" fontId="13" fillId="0" borderId="35" xfId="0" applyNumberFormat="1" applyFont="1" applyBorder="1" applyAlignment="1">
      <alignment horizontal="right" vertical="top"/>
    </xf>
    <xf numFmtId="0" fontId="3" fillId="3" borderId="35" xfId="0" applyFont="1" applyFill="1" applyBorder="1" applyAlignment="1">
      <alignment horizontal="center" vertical="top"/>
    </xf>
    <xf numFmtId="0" fontId="3" fillId="3" borderId="35" xfId="0" applyFont="1" applyFill="1" applyBorder="1" applyAlignment="1">
      <alignment horizontal="right" vertical="top"/>
    </xf>
    <xf numFmtId="0" fontId="3" fillId="3" borderId="48" xfId="0" applyFont="1" applyFill="1" applyBorder="1" applyAlignment="1">
      <alignment horizontal="right" vertical="top"/>
    </xf>
    <xf numFmtId="165" fontId="3" fillId="3" borderId="48" xfId="0" applyNumberFormat="1" applyFont="1" applyFill="1" applyBorder="1" applyAlignment="1">
      <alignment horizontal="right" vertical="top"/>
    </xf>
    <xf numFmtId="10" fontId="3" fillId="3" borderId="49" xfId="0" applyNumberFormat="1" applyFont="1" applyFill="1" applyBorder="1" applyAlignment="1">
      <alignment horizontal="right" vertical="top"/>
    </xf>
    <xf numFmtId="165" fontId="14" fillId="0" borderId="11" xfId="0" applyNumberFormat="1" applyFont="1" applyBorder="1" applyAlignment="1">
      <alignment horizontal="right" vertical="top"/>
    </xf>
    <xf numFmtId="10" fontId="14" fillId="0" borderId="7" xfId="0" applyNumberFormat="1" applyFont="1" applyBorder="1" applyAlignment="1">
      <alignment horizontal="right" vertical="top"/>
    </xf>
    <xf numFmtId="0" fontId="16" fillId="0" borderId="1" xfId="0" applyFont="1" applyBorder="1" applyAlignment="1">
      <alignment horizontal="center" vertical="top"/>
    </xf>
    <xf numFmtId="4" fontId="16" fillId="0" borderId="1" xfId="0" applyNumberFormat="1" applyFont="1" applyBorder="1" applyAlignment="1">
      <alignment horizontal="right" vertical="top"/>
    </xf>
    <xf numFmtId="165" fontId="16" fillId="0" borderId="11" xfId="0" applyNumberFormat="1" applyFont="1" applyBorder="1" applyAlignment="1">
      <alignment horizontal="right" vertical="top"/>
    </xf>
    <xf numFmtId="10" fontId="16" fillId="0" borderId="7" xfId="0" applyNumberFormat="1" applyFont="1" applyBorder="1" applyAlignment="1">
      <alignment horizontal="right" vertical="top"/>
    </xf>
    <xf numFmtId="0" fontId="9" fillId="2" borderId="3" xfId="1" applyFont="1" applyFill="1" applyBorder="1" applyAlignment="1">
      <alignment horizontal="center" vertical="center" wrapText="1"/>
    </xf>
    <xf numFmtId="4" fontId="9" fillId="2" borderId="58" xfId="1" applyNumberFormat="1" applyFont="1" applyFill="1" applyBorder="1" applyAlignment="1">
      <alignment horizontal="center" vertical="center"/>
    </xf>
    <xf numFmtId="0" fontId="14" fillId="0" borderId="0" xfId="0" applyFont="1" applyFill="1" applyBorder="1" applyAlignment="1">
      <alignment horizontal="center" vertical="top" wrapText="1"/>
    </xf>
    <xf numFmtId="0" fontId="13" fillId="0" borderId="0" xfId="0" applyFont="1" applyBorder="1" applyAlignment="1">
      <alignment horizontal="left" vertical="top" wrapText="1"/>
    </xf>
    <xf numFmtId="10" fontId="14" fillId="0" borderId="0" xfId="3" applyNumberFormat="1" applyFont="1" applyBorder="1" applyAlignment="1"/>
    <xf numFmtId="0" fontId="13" fillId="8" borderId="0" xfId="0" applyFont="1" applyFill="1"/>
    <xf numFmtId="10" fontId="14" fillId="8" borderId="7" xfId="3" applyNumberFormat="1" applyFont="1" applyFill="1" applyBorder="1" applyAlignment="1">
      <alignment horizontal="right" vertical="top" wrapText="1"/>
    </xf>
    <xf numFmtId="10" fontId="13" fillId="8" borderId="13" xfId="3" applyNumberFormat="1" applyFont="1" applyFill="1" applyBorder="1" applyAlignment="1">
      <alignment horizontal="center" vertical="top"/>
    </xf>
    <xf numFmtId="10" fontId="13" fillId="8" borderId="0" xfId="0" applyNumberFormat="1" applyFont="1" applyFill="1"/>
    <xf numFmtId="167" fontId="13" fillId="8" borderId="0" xfId="0" applyNumberFormat="1" applyFont="1" applyFill="1"/>
    <xf numFmtId="10" fontId="18" fillId="0" borderId="0" xfId="0" applyNumberFormat="1" applyFont="1" applyFill="1"/>
    <xf numFmtId="0" fontId="18" fillId="0" borderId="0" xfId="0" applyFont="1" applyFill="1"/>
    <xf numFmtId="44" fontId="14" fillId="0" borderId="7" xfId="2" applyFont="1" applyFill="1" applyBorder="1" applyAlignment="1">
      <alignment horizontal="right" vertical="top" wrapText="1"/>
    </xf>
    <xf numFmtId="10" fontId="19" fillId="8" borderId="13" xfId="3" applyNumberFormat="1" applyFont="1" applyFill="1" applyBorder="1" applyAlignment="1">
      <alignment horizontal="center" vertical="top"/>
    </xf>
    <xf numFmtId="44" fontId="20" fillId="8" borderId="13" xfId="0" applyNumberFormat="1" applyFont="1" applyFill="1" applyBorder="1" applyAlignment="1">
      <alignment horizontal="center" vertical="top"/>
    </xf>
    <xf numFmtId="10" fontId="20" fillId="0" borderId="0" xfId="0" applyNumberFormat="1" applyFont="1" applyFill="1"/>
    <xf numFmtId="0" fontId="20" fillId="0" borderId="0" xfId="0" applyFont="1" applyFill="1"/>
    <xf numFmtId="10" fontId="20" fillId="8" borderId="13" xfId="3" applyNumberFormat="1" applyFont="1" applyFill="1" applyBorder="1" applyAlignment="1">
      <alignment horizontal="center" vertical="top"/>
    </xf>
    <xf numFmtId="44" fontId="18" fillId="8" borderId="13" xfId="0" applyNumberFormat="1" applyFont="1" applyFill="1" applyBorder="1" applyAlignment="1">
      <alignment horizontal="center" vertical="top"/>
    </xf>
    <xf numFmtId="43" fontId="13" fillId="8" borderId="0" xfId="4" applyFont="1" applyFill="1"/>
    <xf numFmtId="44" fontId="18" fillId="8" borderId="47" xfId="0" applyNumberFormat="1" applyFont="1" applyFill="1" applyBorder="1" applyAlignment="1">
      <alignment horizontal="center" vertical="top"/>
    </xf>
    <xf numFmtId="44" fontId="14" fillId="8" borderId="53" xfId="2" applyFont="1" applyFill="1" applyBorder="1" applyAlignment="1">
      <alignment horizontal="center" vertical="top" wrapText="1"/>
    </xf>
    <xf numFmtId="44" fontId="13" fillId="8" borderId="56" xfId="0" applyNumberFormat="1" applyFont="1" applyFill="1" applyBorder="1" applyAlignment="1">
      <alignment horizontal="center" vertical="top"/>
    </xf>
    <xf numFmtId="10" fontId="14" fillId="8" borderId="55" xfId="3" applyNumberFormat="1" applyFont="1" applyFill="1" applyBorder="1" applyAlignment="1">
      <alignment horizontal="right" vertical="top" wrapText="1"/>
    </xf>
    <xf numFmtId="10" fontId="13" fillId="8" borderId="57" xfId="3" applyNumberFormat="1" applyFont="1" applyFill="1" applyBorder="1" applyAlignment="1">
      <alignment horizontal="center" vertical="top"/>
    </xf>
    <xf numFmtId="44" fontId="14" fillId="0" borderId="46" xfId="2" applyFont="1" applyFill="1" applyBorder="1" applyAlignment="1">
      <alignment horizontal="right" vertical="top" wrapText="1"/>
    </xf>
    <xf numFmtId="10" fontId="13" fillId="8" borderId="45" xfId="3" applyNumberFormat="1" applyFont="1" applyFill="1" applyBorder="1" applyAlignment="1">
      <alignment horizontal="center" vertical="top"/>
    </xf>
    <xf numFmtId="44" fontId="14" fillId="8" borderId="49" xfId="2" applyFont="1" applyFill="1" applyBorder="1" applyAlignment="1">
      <alignment horizontal="center" vertical="top" wrapText="1"/>
    </xf>
    <xf numFmtId="44" fontId="13" fillId="8" borderId="47" xfId="0" applyNumberFormat="1" applyFont="1" applyFill="1" applyBorder="1" applyAlignment="1">
      <alignment horizontal="center" vertical="top"/>
    </xf>
    <xf numFmtId="44" fontId="15" fillId="8" borderId="13" xfId="0" applyNumberFormat="1" applyFont="1" applyFill="1" applyBorder="1" applyAlignment="1">
      <alignment horizontal="center" vertical="top"/>
    </xf>
    <xf numFmtId="10" fontId="15" fillId="8" borderId="13" xfId="3" applyNumberFormat="1" applyFont="1" applyFill="1" applyBorder="1" applyAlignment="1">
      <alignment horizontal="center" vertical="top"/>
    </xf>
    <xf numFmtId="44" fontId="19" fillId="8" borderId="56" xfId="0" applyNumberFormat="1" applyFont="1" applyFill="1" applyBorder="1" applyAlignment="1">
      <alignment horizontal="center" vertical="top"/>
    </xf>
    <xf numFmtId="10" fontId="19" fillId="8" borderId="57" xfId="3" applyNumberFormat="1" applyFont="1" applyFill="1" applyBorder="1" applyAlignment="1">
      <alignment horizontal="center" vertical="top"/>
    </xf>
    <xf numFmtId="44" fontId="19" fillId="8" borderId="47" xfId="0" applyNumberFormat="1" applyFont="1" applyFill="1" applyBorder="1" applyAlignment="1">
      <alignment horizontal="center" vertical="top"/>
    </xf>
    <xf numFmtId="10" fontId="1" fillId="0" borderId="0" xfId="3" applyNumberFormat="1" applyFont="1" applyAlignment="1">
      <alignment horizontal="center"/>
    </xf>
    <xf numFmtId="165" fontId="9" fillId="2" borderId="50" xfId="1" applyNumberFormat="1" applyFont="1" applyFill="1" applyBorder="1" applyAlignment="1">
      <alignment horizontal="center" vertical="center"/>
    </xf>
    <xf numFmtId="10" fontId="10" fillId="2" borderId="3" xfId="1" applyNumberFormat="1" applyFont="1" applyFill="1" applyBorder="1" applyAlignment="1">
      <alignment horizontal="center" vertical="center" wrapText="1"/>
    </xf>
    <xf numFmtId="4" fontId="9" fillId="2" borderId="58" xfId="1" applyNumberFormat="1" applyFont="1" applyFill="1" applyBorder="1" applyAlignment="1">
      <alignment horizontal="center" vertical="center" wrapText="1"/>
    </xf>
    <xf numFmtId="0" fontId="11" fillId="2" borderId="0" xfId="0" applyFont="1" applyFill="1" applyBorder="1" applyAlignment="1">
      <alignment vertical="center"/>
    </xf>
    <xf numFmtId="10" fontId="1" fillId="0" borderId="1" xfId="0" applyNumberFormat="1" applyFont="1" applyBorder="1" applyAlignment="1">
      <alignment horizontal="right" vertical="top"/>
    </xf>
    <xf numFmtId="0" fontId="1" fillId="0" borderId="0" xfId="0" applyFont="1" applyBorder="1"/>
    <xf numFmtId="10" fontId="3" fillId="2" borderId="1" xfId="0" applyNumberFormat="1" applyFont="1" applyFill="1" applyBorder="1" applyAlignment="1">
      <alignment horizontal="right" vertical="top"/>
    </xf>
    <xf numFmtId="0" fontId="15" fillId="0" borderId="0" xfId="0" applyFont="1" applyBorder="1"/>
    <xf numFmtId="10" fontId="15" fillId="0" borderId="1" xfId="0" applyNumberFormat="1" applyFont="1" applyBorder="1" applyAlignment="1">
      <alignment horizontal="right" vertical="top"/>
    </xf>
    <xf numFmtId="10" fontId="3" fillId="3" borderId="1" xfId="0" applyNumberFormat="1" applyFont="1" applyFill="1" applyBorder="1" applyAlignment="1">
      <alignment horizontal="right" vertical="top"/>
    </xf>
    <xf numFmtId="0" fontId="3" fillId="3" borderId="0" xfId="0" applyFont="1" applyFill="1" applyBorder="1"/>
    <xf numFmtId="0" fontId="13" fillId="0" borderId="0" xfId="0" applyFont="1" applyBorder="1"/>
    <xf numFmtId="10" fontId="13" fillId="6" borderId="1" xfId="0" applyNumberFormat="1" applyFont="1" applyFill="1" applyBorder="1" applyAlignment="1">
      <alignment horizontal="right" vertical="top"/>
    </xf>
    <xf numFmtId="0" fontId="14" fillId="6" borderId="0" xfId="0" applyFont="1" applyFill="1" applyBorder="1"/>
    <xf numFmtId="0" fontId="14" fillId="0" borderId="0" xfId="0" applyFont="1" applyBorder="1"/>
    <xf numFmtId="0" fontId="14" fillId="5" borderId="0" xfId="0" applyFont="1" applyFill="1" applyBorder="1"/>
    <xf numFmtId="0" fontId="14" fillId="3" borderId="0" xfId="0" applyFont="1" applyFill="1" applyBorder="1"/>
    <xf numFmtId="10" fontId="14" fillId="6" borderId="1" xfId="0" applyNumberFormat="1" applyFont="1" applyFill="1" applyBorder="1" applyAlignment="1">
      <alignment horizontal="right" vertical="top"/>
    </xf>
    <xf numFmtId="0" fontId="13" fillId="5" borderId="0" xfId="0" applyFont="1" applyFill="1" applyBorder="1"/>
    <xf numFmtId="10" fontId="16" fillId="6" borderId="1" xfId="0" applyNumberFormat="1" applyFont="1" applyFill="1" applyBorder="1" applyAlignment="1">
      <alignment horizontal="right" vertical="top"/>
    </xf>
    <xf numFmtId="0" fontId="16" fillId="5" borderId="0" xfId="0" applyFont="1" applyFill="1" applyBorder="1"/>
    <xf numFmtId="10" fontId="3" fillId="3" borderId="34" xfId="0" applyNumberFormat="1" applyFont="1" applyFill="1" applyBorder="1" applyAlignment="1">
      <alignment horizontal="right" vertical="top"/>
    </xf>
    <xf numFmtId="10" fontId="14" fillId="7" borderId="7" xfId="0" applyNumberFormat="1" applyFont="1" applyFill="1" applyBorder="1" applyAlignment="1">
      <alignment horizontal="right" vertical="top"/>
    </xf>
    <xf numFmtId="0" fontId="14" fillId="7" borderId="0" xfId="0" applyFont="1" applyFill="1" applyBorder="1"/>
    <xf numFmtId="10" fontId="13" fillId="0" borderId="46" xfId="0" applyNumberFormat="1" applyFont="1" applyBorder="1" applyAlignment="1">
      <alignment horizontal="right" vertical="top"/>
    </xf>
    <xf numFmtId="10" fontId="14" fillId="0" borderId="27" xfId="0" applyNumberFormat="1" applyFont="1" applyBorder="1" applyAlignment="1">
      <alignment horizontal="right" vertical="top"/>
    </xf>
    <xf numFmtId="10" fontId="13" fillId="0" borderId="49" xfId="0" applyNumberFormat="1" applyFont="1" applyBorder="1" applyAlignment="1">
      <alignment horizontal="right" vertical="top"/>
    </xf>
    <xf numFmtId="10" fontId="3" fillId="3" borderId="35" xfId="0" applyNumberFormat="1" applyFont="1" applyFill="1" applyBorder="1" applyAlignment="1">
      <alignment horizontal="right" vertical="top"/>
    </xf>
    <xf numFmtId="0" fontId="13" fillId="6" borderId="0" xfId="0" applyFont="1" applyFill="1" applyBorder="1"/>
    <xf numFmtId="0" fontId="17" fillId="0" borderId="0" xfId="0" applyFont="1" applyBorder="1"/>
    <xf numFmtId="0" fontId="16" fillId="0" borderId="0" xfId="0" applyFont="1" applyBorder="1"/>
    <xf numFmtId="0" fontId="3" fillId="0" borderId="0" xfId="0" applyFont="1" applyBorder="1"/>
    <xf numFmtId="10" fontId="16" fillId="0" borderId="1" xfId="0" applyNumberFormat="1" applyFont="1" applyBorder="1" applyAlignment="1">
      <alignment horizontal="right" vertical="top"/>
    </xf>
    <xf numFmtId="165" fontId="1" fillId="0" borderId="18" xfId="0" applyNumberFormat="1" applyFont="1" applyBorder="1" applyAlignment="1">
      <alignment horizontal="right"/>
    </xf>
    <xf numFmtId="165" fontId="13" fillId="0" borderId="18" xfId="0" applyNumberFormat="1" applyFont="1" applyBorder="1" applyAlignment="1">
      <alignment horizontal="right"/>
    </xf>
    <xf numFmtId="165" fontId="1" fillId="0" borderId="43" xfId="0" applyNumberFormat="1" applyFont="1" applyBorder="1" applyAlignment="1">
      <alignment horizontal="right"/>
    </xf>
    <xf numFmtId="43" fontId="1" fillId="0" borderId="0" xfId="4" applyFont="1"/>
    <xf numFmtId="0" fontId="3" fillId="2" borderId="33" xfId="0" applyFont="1" applyFill="1" applyBorder="1" applyAlignment="1">
      <alignment horizontal="center" vertical="top"/>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43" fontId="7" fillId="0" borderId="0" xfId="4" applyFont="1" applyFill="1" applyBorder="1" applyAlignment="1" applyProtection="1">
      <alignment vertical="center"/>
    </xf>
    <xf numFmtId="43" fontId="5" fillId="0" borderId="0" xfId="4" applyFont="1" applyFill="1" applyBorder="1" applyAlignment="1" applyProtection="1">
      <alignment vertical="center"/>
    </xf>
    <xf numFmtId="43" fontId="8" fillId="0" borderId="0" xfId="4" applyFont="1" applyBorder="1" applyAlignment="1">
      <alignment vertical="center"/>
    </xf>
    <xf numFmtId="43" fontId="11" fillId="2" borderId="0" xfId="4" applyFont="1" applyFill="1" applyBorder="1" applyAlignment="1">
      <alignment vertical="center"/>
    </xf>
    <xf numFmtId="43" fontId="13" fillId="0" borderId="0" xfId="4" applyFont="1" applyBorder="1"/>
    <xf numFmtId="10" fontId="13" fillId="6" borderId="11" xfId="0" applyNumberFormat="1" applyFont="1" applyFill="1" applyBorder="1" applyAlignment="1">
      <alignment horizontal="right" vertical="top"/>
    </xf>
    <xf numFmtId="165" fontId="13" fillId="0" borderId="0" xfId="0" applyNumberFormat="1" applyFont="1" applyBorder="1" applyAlignment="1">
      <alignment horizontal="right" vertical="top"/>
    </xf>
    <xf numFmtId="10" fontId="13" fillId="0" borderId="0" xfId="0" applyNumberFormat="1" applyFont="1" applyBorder="1" applyAlignment="1">
      <alignment horizontal="right" vertical="top"/>
    </xf>
    <xf numFmtId="10" fontId="13" fillId="6" borderId="0" xfId="0" applyNumberFormat="1" applyFont="1" applyFill="1" applyBorder="1" applyAlignment="1">
      <alignment horizontal="right" vertical="top"/>
    </xf>
    <xf numFmtId="43" fontId="1" fillId="0" borderId="0" xfId="4" applyFont="1" applyBorder="1"/>
    <xf numFmtId="0" fontId="6" fillId="0" borderId="25" xfId="1" applyFont="1" applyFill="1" applyBorder="1" applyAlignment="1">
      <alignment horizontal="center" vertical="top"/>
    </xf>
    <xf numFmtId="164" fontId="8" fillId="0" borderId="25" xfId="1" applyNumberFormat="1" applyFont="1" applyBorder="1" applyAlignment="1"/>
    <xf numFmtId="10" fontId="8" fillId="0" borderId="25" xfId="1" applyNumberFormat="1" applyFont="1" applyFill="1" applyBorder="1" applyAlignment="1" applyProtection="1"/>
    <xf numFmtId="0" fontId="6" fillId="0" borderId="29" xfId="1" applyFont="1" applyFill="1" applyBorder="1" applyAlignment="1">
      <alignment horizontal="center" vertical="top"/>
    </xf>
    <xf numFmtId="10" fontId="8" fillId="0" borderId="29" xfId="1" applyNumberFormat="1" applyFont="1" applyFill="1" applyBorder="1" applyAlignment="1" applyProtection="1"/>
    <xf numFmtId="0" fontId="6" fillId="0" borderId="64" xfId="1" applyFont="1" applyFill="1" applyBorder="1" applyAlignment="1" applyProtection="1">
      <alignment horizontal="center" vertical="top"/>
    </xf>
    <xf numFmtId="10" fontId="6" fillId="0" borderId="65" xfId="1" applyNumberFormat="1" applyFont="1" applyFill="1" applyBorder="1" applyAlignment="1" applyProtection="1">
      <alignment horizontal="right"/>
    </xf>
    <xf numFmtId="0" fontId="8" fillId="0" borderId="64" xfId="1" applyFont="1" applyFill="1" applyBorder="1" applyAlignment="1">
      <alignment horizontal="center" vertical="top"/>
    </xf>
    <xf numFmtId="10" fontId="8" fillId="0" borderId="65" xfId="1" applyNumberFormat="1" applyFont="1" applyFill="1" applyBorder="1" applyAlignment="1">
      <alignment horizontal="right"/>
    </xf>
    <xf numFmtId="0" fontId="13" fillId="0" borderId="69" xfId="0" applyFont="1" applyBorder="1" applyAlignment="1">
      <alignment horizontal="left" vertical="top" wrapText="1"/>
    </xf>
    <xf numFmtId="10" fontId="14" fillId="0" borderId="70" xfId="3" applyNumberFormat="1" applyFont="1" applyBorder="1" applyAlignment="1"/>
    <xf numFmtId="10" fontId="14" fillId="0" borderId="71" xfId="3" applyNumberFormat="1" applyFont="1" applyBorder="1" applyAlignment="1"/>
    <xf numFmtId="44" fontId="13" fillId="0" borderId="7" xfId="2" applyFont="1" applyFill="1" applyBorder="1" applyAlignment="1">
      <alignment horizontal="right" vertical="top" wrapText="1"/>
    </xf>
    <xf numFmtId="44" fontId="14" fillId="0" borderId="49" xfId="2" applyFont="1" applyFill="1" applyBorder="1" applyAlignment="1">
      <alignment horizontal="left" vertical="top" wrapText="1"/>
    </xf>
    <xf numFmtId="44" fontId="14" fillId="0" borderId="7" xfId="2" applyFont="1" applyFill="1" applyBorder="1" applyAlignment="1">
      <alignment horizontal="left" vertical="top" wrapText="1"/>
    </xf>
    <xf numFmtId="43" fontId="7" fillId="0" borderId="60" xfId="4" applyFont="1" applyFill="1" applyBorder="1" applyAlignment="1" applyProtection="1">
      <alignment horizontal="center" vertical="center"/>
    </xf>
    <xf numFmtId="43" fontId="7" fillId="0" borderId="61" xfId="4" applyFont="1" applyFill="1" applyBorder="1" applyAlignment="1" applyProtection="1">
      <alignment horizontal="center" vertical="center"/>
    </xf>
    <xf numFmtId="43" fontId="7" fillId="0" borderId="62" xfId="4" applyFont="1" applyFill="1" applyBorder="1" applyAlignment="1" applyProtection="1">
      <alignment horizontal="center" vertical="center"/>
    </xf>
    <xf numFmtId="0" fontId="6" fillId="0" borderId="17" xfId="1" applyFont="1" applyFill="1" applyBorder="1" applyAlignment="1" applyProtection="1">
      <alignment horizontal="center" vertical="top"/>
    </xf>
    <xf numFmtId="0" fontId="6" fillId="0" borderId="0" xfId="1" applyFont="1" applyFill="1" applyBorder="1" applyAlignment="1" applyProtection="1">
      <alignment horizontal="center" vertical="top"/>
    </xf>
    <xf numFmtId="0" fontId="6" fillId="0" borderId="18" xfId="1" applyFont="1" applyFill="1" applyBorder="1" applyAlignment="1" applyProtection="1">
      <alignment horizontal="center" vertical="top"/>
    </xf>
    <xf numFmtId="0" fontId="10" fillId="4" borderId="8" xfId="1" applyFont="1" applyFill="1" applyBorder="1" applyAlignment="1">
      <alignment horizontal="center" vertical="top" wrapText="1"/>
    </xf>
    <xf numFmtId="0" fontId="10" fillId="4" borderId="44" xfId="1" applyFont="1" applyFill="1" applyBorder="1" applyAlignment="1">
      <alignment horizontal="center" vertical="top" wrapText="1"/>
    </xf>
    <xf numFmtId="0" fontId="10" fillId="4" borderId="9" xfId="1" applyFont="1" applyFill="1" applyBorder="1" applyAlignment="1">
      <alignment horizontal="center" vertical="top" wrapText="1"/>
    </xf>
    <xf numFmtId="0" fontId="3" fillId="2" borderId="33" xfId="0" applyFont="1" applyFill="1" applyBorder="1" applyAlignment="1">
      <alignment horizontal="center" vertical="top"/>
    </xf>
    <xf numFmtId="0" fontId="6" fillId="0" borderId="15" xfId="1" applyFont="1" applyFill="1" applyBorder="1" applyAlignment="1">
      <alignment horizontal="center" vertical="center"/>
    </xf>
    <xf numFmtId="0" fontId="6" fillId="0" borderId="0" xfId="1" applyFont="1" applyFill="1" applyBorder="1" applyAlignment="1">
      <alignment horizontal="center" vertical="center"/>
    </xf>
    <xf numFmtId="0" fontId="8" fillId="0" borderId="21" xfId="1" applyFont="1" applyFill="1" applyBorder="1" applyAlignment="1" applyProtection="1">
      <alignment vertical="top"/>
    </xf>
    <xf numFmtId="0" fontId="8" fillId="0" borderId="22" xfId="1" applyFont="1" applyFill="1" applyBorder="1" applyAlignment="1" applyProtection="1">
      <alignment vertical="top"/>
    </xf>
    <xf numFmtId="164" fontId="8" fillId="0" borderId="21" xfId="1" applyNumberFormat="1" applyFont="1" applyBorder="1" applyAlignment="1">
      <alignment horizontal="center"/>
    </xf>
    <xf numFmtId="164" fontId="8" fillId="0" borderId="23" xfId="1" applyNumberFormat="1" applyFont="1" applyBorder="1" applyAlignment="1">
      <alignment horizontal="center"/>
    </xf>
    <xf numFmtId="0" fontId="8" fillId="0" borderId="25" xfId="1" applyFont="1" applyFill="1" applyBorder="1" applyAlignment="1" applyProtection="1">
      <alignment horizontal="left" vertical="top"/>
    </xf>
    <xf numFmtId="0" fontId="8" fillId="0" borderId="26" xfId="1" applyFont="1" applyFill="1" applyBorder="1" applyAlignment="1" applyProtection="1">
      <alignment horizontal="left" vertical="top"/>
    </xf>
    <xf numFmtId="0" fontId="6" fillId="0" borderId="25" xfId="1" applyFont="1" applyBorder="1" applyAlignment="1"/>
    <xf numFmtId="165" fontId="14" fillId="0" borderId="11" xfId="0" applyNumberFormat="1" applyFont="1" applyBorder="1" applyAlignment="1"/>
    <xf numFmtId="165" fontId="14" fillId="0" borderId="39" xfId="0" applyNumberFormat="1" applyFont="1" applyBorder="1" applyAlignment="1"/>
    <xf numFmtId="0" fontId="6" fillId="0" borderId="29" xfId="1" applyFont="1" applyFill="1" applyBorder="1" applyAlignment="1" applyProtection="1">
      <alignment horizontal="left" vertical="top"/>
    </xf>
    <xf numFmtId="0" fontId="6" fillId="0" borderId="30" xfId="1" applyFont="1" applyFill="1" applyBorder="1" applyAlignment="1" applyProtection="1">
      <alignment horizontal="left" vertical="top"/>
    </xf>
    <xf numFmtId="0" fontId="6" fillId="0" borderId="29" xfId="1" applyFont="1" applyBorder="1" applyAlignment="1"/>
    <xf numFmtId="165" fontId="14" fillId="0" borderId="37" xfId="0" applyNumberFormat="1" applyFont="1" applyBorder="1" applyAlignment="1">
      <alignment horizontal="right"/>
    </xf>
    <xf numFmtId="165" fontId="14" fillId="0" borderId="38" xfId="0" applyNumberFormat="1" applyFont="1" applyBorder="1" applyAlignment="1">
      <alignment horizontal="right"/>
    </xf>
    <xf numFmtId="0" fontId="3" fillId="2" borderId="33" xfId="0" applyFont="1" applyFill="1" applyBorder="1" applyAlignment="1">
      <alignment horizontal="center"/>
    </xf>
    <xf numFmtId="0" fontId="3" fillId="2" borderId="8" xfId="0" applyFont="1" applyFill="1" applyBorder="1" applyAlignment="1">
      <alignment horizontal="center" vertical="top"/>
    </xf>
    <xf numFmtId="0" fontId="3" fillId="2" borderId="12" xfId="0" applyFont="1" applyFill="1" applyBorder="1" applyAlignment="1">
      <alignment horizontal="center" vertical="top"/>
    </xf>
    <xf numFmtId="165" fontId="2" fillId="0" borderId="10" xfId="0" applyNumberFormat="1" applyFont="1" applyBorder="1" applyAlignment="1">
      <alignment horizontal="right"/>
    </xf>
    <xf numFmtId="165" fontId="2" fillId="0" borderId="9" xfId="0" applyNumberFormat="1" applyFont="1" applyBorder="1" applyAlignment="1">
      <alignment horizontal="right"/>
    </xf>
    <xf numFmtId="0" fontId="1" fillId="0" borderId="73" xfId="0" applyFont="1" applyBorder="1" applyAlignment="1">
      <alignment horizontal="center" vertical="top"/>
    </xf>
    <xf numFmtId="0" fontId="1" fillId="0" borderId="74" xfId="0" applyFont="1" applyBorder="1" applyAlignment="1">
      <alignment horizontal="center" vertical="top"/>
    </xf>
    <xf numFmtId="0" fontId="1" fillId="0" borderId="75" xfId="0" applyFont="1" applyBorder="1" applyAlignment="1">
      <alignment horizontal="center" vertical="top"/>
    </xf>
    <xf numFmtId="0" fontId="1" fillId="0" borderId="67" xfId="0" applyFont="1" applyBorder="1" applyAlignment="1">
      <alignment horizontal="center" vertical="top"/>
    </xf>
    <xf numFmtId="0" fontId="1" fillId="0" borderId="72" xfId="0" applyFont="1" applyBorder="1" applyAlignment="1">
      <alignment horizontal="center" vertical="top"/>
    </xf>
    <xf numFmtId="0" fontId="1" fillId="0" borderId="68" xfId="0" applyFont="1" applyBorder="1" applyAlignment="1">
      <alignment horizontal="center" vertical="top"/>
    </xf>
    <xf numFmtId="0" fontId="14" fillId="8" borderId="3" xfId="0" applyFont="1" applyFill="1" applyBorder="1" applyAlignment="1">
      <alignment vertical="top" wrapText="1"/>
    </xf>
    <xf numFmtId="0" fontId="14" fillId="8" borderId="5" xfId="0" applyFont="1" applyFill="1" applyBorder="1" applyAlignment="1">
      <alignment vertical="top" wrapText="1"/>
    </xf>
    <xf numFmtId="0" fontId="8" fillId="0" borderId="25" xfId="1" applyFont="1" applyFill="1" applyBorder="1" applyAlignment="1" applyProtection="1">
      <alignment vertical="top"/>
    </xf>
    <xf numFmtId="0" fontId="10" fillId="4" borderId="10" xfId="1" applyFont="1" applyFill="1" applyBorder="1" applyAlignment="1">
      <alignment horizontal="center" vertical="top" wrapText="1"/>
    </xf>
    <xf numFmtId="0" fontId="10" fillId="4" borderId="12" xfId="1" applyFont="1" applyFill="1" applyBorder="1" applyAlignment="1">
      <alignment horizontal="center" vertical="top" wrapText="1"/>
    </xf>
    <xf numFmtId="0" fontId="9" fillId="2" borderId="3"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4"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6" fillId="0" borderId="26" xfId="1" applyFont="1" applyBorder="1" applyAlignment="1">
      <alignment horizontal="left"/>
    </xf>
    <xf numFmtId="0" fontId="6" fillId="0" borderId="63" xfId="1" applyFont="1" applyBorder="1" applyAlignment="1">
      <alignment horizontal="left"/>
    </xf>
    <xf numFmtId="0" fontId="14" fillId="8" borderId="3" xfId="0" applyFont="1" applyFill="1" applyBorder="1" applyAlignment="1">
      <alignment horizontal="left" vertical="top"/>
    </xf>
    <xf numFmtId="0" fontId="14" fillId="8" borderId="5" xfId="0" applyFont="1" applyFill="1" applyBorder="1" applyAlignment="1">
      <alignment horizontal="left" vertical="top"/>
    </xf>
    <xf numFmtId="0" fontId="14" fillId="0" borderId="3" xfId="0" applyFont="1" applyFill="1" applyBorder="1" applyAlignment="1">
      <alignment horizontal="center" vertical="top"/>
    </xf>
    <xf numFmtId="0" fontId="14" fillId="0" borderId="35" xfId="0" applyFont="1" applyFill="1" applyBorder="1" applyAlignment="1">
      <alignment horizontal="center" vertical="top"/>
    </xf>
    <xf numFmtId="0" fontId="13" fillId="0" borderId="1" xfId="0" applyFont="1" applyFill="1" applyBorder="1" applyAlignment="1">
      <alignment horizontal="center" vertical="top"/>
    </xf>
    <xf numFmtId="0" fontId="14" fillId="0" borderId="35" xfId="0" applyFont="1" applyFill="1" applyBorder="1" applyAlignment="1">
      <alignment horizontal="left" vertical="top" wrapText="1"/>
    </xf>
    <xf numFmtId="0" fontId="14"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center" vertical="top"/>
    </xf>
    <xf numFmtId="0" fontId="14" fillId="0" borderId="34" xfId="0" applyFont="1" applyFill="1" applyBorder="1" applyAlignment="1">
      <alignment horizontal="center" vertical="top"/>
    </xf>
    <xf numFmtId="0" fontId="14" fillId="0" borderId="34" xfId="0" applyFont="1" applyFill="1" applyBorder="1" applyAlignment="1">
      <alignment horizontal="left" vertical="top" wrapText="1"/>
    </xf>
    <xf numFmtId="0" fontId="14" fillId="0" borderId="58"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4" fillId="0" borderId="67" xfId="0" applyFont="1" applyFill="1" applyBorder="1" applyAlignment="1">
      <alignment horizontal="center" vertical="top" wrapText="1"/>
    </xf>
    <xf numFmtId="0" fontId="14" fillId="0" borderId="68" xfId="0" applyFont="1" applyFill="1" applyBorder="1" applyAlignment="1">
      <alignment horizontal="center" vertical="top" wrapText="1"/>
    </xf>
    <xf numFmtId="0" fontId="9" fillId="2" borderId="15" xfId="1" applyFont="1" applyFill="1" applyBorder="1" applyAlignment="1">
      <alignment horizontal="center" vertical="center"/>
    </xf>
    <xf numFmtId="0" fontId="9" fillId="2" borderId="50" xfId="1" applyFont="1" applyFill="1" applyBorder="1" applyAlignment="1">
      <alignment horizontal="center" vertical="center"/>
    </xf>
    <xf numFmtId="0" fontId="14" fillId="0" borderId="66" xfId="0" applyFont="1" applyFill="1" applyBorder="1" applyAlignment="1">
      <alignment horizontal="center" vertical="top" wrapText="1"/>
    </xf>
    <xf numFmtId="0" fontId="14" fillId="0" borderId="51" xfId="0" applyFont="1" applyFill="1" applyBorder="1" applyAlignment="1">
      <alignment horizontal="center" vertical="top" wrapText="1"/>
    </xf>
    <xf numFmtId="0" fontId="14" fillId="8" borderId="59" xfId="0" applyFont="1" applyFill="1" applyBorder="1" applyAlignment="1">
      <alignment horizontal="left" vertical="top"/>
    </xf>
    <xf numFmtId="0" fontId="14" fillId="8" borderId="35" xfId="0" applyFont="1" applyFill="1" applyBorder="1" applyAlignment="1">
      <alignment horizontal="left" vertical="top"/>
    </xf>
    <xf numFmtId="0" fontId="14" fillId="8" borderId="59" xfId="0" applyFont="1" applyFill="1" applyBorder="1" applyAlignment="1">
      <alignment vertical="top" wrapText="1"/>
    </xf>
    <xf numFmtId="0" fontId="14" fillId="8" borderId="35" xfId="0" applyFont="1" applyFill="1" applyBorder="1" applyAlignment="1">
      <alignment vertical="top" wrapText="1"/>
    </xf>
  </cellXfs>
  <cellStyles count="5">
    <cellStyle name="0,0_x000d_&#10;NA_x000d_&#10;" xfId="1"/>
    <cellStyle name="Moeda" xfId="2" builtinId="4"/>
    <cellStyle name="Normal" xfId="0" builtinId="0"/>
    <cellStyle name="Porcentagem" xfId="3" builtinId="5"/>
    <cellStyle name="Separador de milhares" xfId="4" builtinId="3"/>
  </cellStyles>
  <dxfs count="32">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
      <font>
        <color theme="1"/>
      </font>
      <fill>
        <patternFill>
          <bgColor theme="3"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44822</xdr:rowOff>
    </xdr:from>
    <xdr:to>
      <xdr:col>2</xdr:col>
      <xdr:colOff>1133555</xdr:colOff>
      <xdr:row>2</xdr:row>
      <xdr:rowOff>7285</xdr:rowOff>
    </xdr:to>
    <xdr:pic>
      <xdr:nvPicPr>
        <xdr:cNvPr id="2" name="Imagem 1"/>
        <xdr:cNvPicPr>
          <a:picLocks noChangeAspect="1"/>
        </xdr:cNvPicPr>
      </xdr:nvPicPr>
      <xdr:blipFill rotWithShape="1">
        <a:blip xmlns:r="http://schemas.openxmlformats.org/officeDocument/2006/relationships" r:embed="rId1"/>
        <a:srcRect l="22998" t="22828" r="16448" b="60933"/>
        <a:stretch/>
      </xdr:blipFill>
      <xdr:spPr>
        <a:xfrm>
          <a:off x="44823" y="44822"/>
          <a:ext cx="2765132" cy="367276"/>
        </a:xfrm>
        <a:prstGeom prst="rect">
          <a:avLst/>
        </a:prstGeom>
      </xdr:spPr>
    </xdr:pic>
    <xdr:clientData/>
  </xdr:twoCellAnchor>
  <xdr:twoCellAnchor>
    <xdr:from>
      <xdr:col>8</xdr:col>
      <xdr:colOff>938599</xdr:colOff>
      <xdr:row>0</xdr:row>
      <xdr:rowOff>13138</xdr:rowOff>
    </xdr:from>
    <xdr:to>
      <xdr:col>9</xdr:col>
      <xdr:colOff>551793</xdr:colOff>
      <xdr:row>2</xdr:row>
      <xdr:rowOff>193076</xdr:rowOff>
    </xdr:to>
    <xdr:pic>
      <xdr:nvPicPr>
        <xdr:cNvPr id="3" name="Picture 2818" descr="logo cl"/>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r="2076"/>
        <a:stretch/>
      </xdr:blipFill>
      <xdr:spPr bwMode="auto">
        <a:xfrm>
          <a:off x="13721149" y="13138"/>
          <a:ext cx="775244" cy="5609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44823</xdr:colOff>
      <xdr:row>0</xdr:row>
      <xdr:rowOff>44822</xdr:rowOff>
    </xdr:from>
    <xdr:to>
      <xdr:col>2</xdr:col>
      <xdr:colOff>1133555</xdr:colOff>
      <xdr:row>2</xdr:row>
      <xdr:rowOff>31098</xdr:rowOff>
    </xdr:to>
    <xdr:pic>
      <xdr:nvPicPr>
        <xdr:cNvPr id="4" name="Imagem 3"/>
        <xdr:cNvPicPr>
          <a:picLocks noChangeAspect="1"/>
        </xdr:cNvPicPr>
      </xdr:nvPicPr>
      <xdr:blipFill rotWithShape="1">
        <a:blip xmlns:r="http://schemas.openxmlformats.org/officeDocument/2006/relationships" r:embed="rId1"/>
        <a:srcRect l="22998" t="22828" r="16448" b="60933"/>
        <a:stretch/>
      </xdr:blipFill>
      <xdr:spPr>
        <a:xfrm>
          <a:off x="44823" y="44822"/>
          <a:ext cx="2810852" cy="382516"/>
        </a:xfrm>
        <a:prstGeom prst="rect">
          <a:avLst/>
        </a:prstGeom>
      </xdr:spPr>
    </xdr:pic>
    <xdr:clientData/>
  </xdr:twoCellAnchor>
  <xdr:twoCellAnchor>
    <xdr:from>
      <xdr:col>8</xdr:col>
      <xdr:colOff>938599</xdr:colOff>
      <xdr:row>0</xdr:row>
      <xdr:rowOff>13138</xdr:rowOff>
    </xdr:from>
    <xdr:to>
      <xdr:col>9</xdr:col>
      <xdr:colOff>551793</xdr:colOff>
      <xdr:row>2</xdr:row>
      <xdr:rowOff>193076</xdr:rowOff>
    </xdr:to>
    <xdr:pic>
      <xdr:nvPicPr>
        <xdr:cNvPr id="5" name="Picture 2818" descr="logo cl"/>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r="2076"/>
        <a:stretch/>
      </xdr:blipFill>
      <xdr:spPr bwMode="auto">
        <a:xfrm>
          <a:off x="14083099" y="13138"/>
          <a:ext cx="809534" cy="57617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44823</xdr:colOff>
      <xdr:row>0</xdr:row>
      <xdr:rowOff>44822</xdr:rowOff>
    </xdr:from>
    <xdr:to>
      <xdr:col>2</xdr:col>
      <xdr:colOff>690563</xdr:colOff>
      <xdr:row>1</xdr:row>
      <xdr:rowOff>150903</xdr:rowOff>
    </xdr:to>
    <xdr:pic>
      <xdr:nvPicPr>
        <xdr:cNvPr id="6" name="Imagem 5"/>
        <xdr:cNvPicPr>
          <a:picLocks noChangeAspect="1"/>
        </xdr:cNvPicPr>
      </xdr:nvPicPr>
      <xdr:blipFill rotWithShape="1">
        <a:blip xmlns:r="http://schemas.openxmlformats.org/officeDocument/2006/relationships" r:embed="rId3" cstate="print"/>
        <a:srcRect l="22998" t="22828" r="16448" b="60933"/>
        <a:stretch/>
      </xdr:blipFill>
      <xdr:spPr>
        <a:xfrm>
          <a:off x="44823" y="44822"/>
          <a:ext cx="2322140" cy="306106"/>
        </a:xfrm>
        <a:prstGeom prst="rect">
          <a:avLst/>
        </a:prstGeom>
      </xdr:spPr>
    </xdr:pic>
    <xdr:clientData/>
  </xdr:twoCellAnchor>
  <xdr:twoCellAnchor>
    <xdr:from>
      <xdr:col>8</xdr:col>
      <xdr:colOff>938599</xdr:colOff>
      <xdr:row>0</xdr:row>
      <xdr:rowOff>13138</xdr:rowOff>
    </xdr:from>
    <xdr:to>
      <xdr:col>9</xdr:col>
      <xdr:colOff>326010</xdr:colOff>
      <xdr:row>2</xdr:row>
      <xdr:rowOff>23812</xdr:rowOff>
    </xdr:to>
    <xdr:pic>
      <xdr:nvPicPr>
        <xdr:cNvPr id="7" name="Picture 2818" descr="logo cl"/>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r="2076"/>
        <a:stretch/>
      </xdr:blipFill>
      <xdr:spPr bwMode="auto">
        <a:xfrm>
          <a:off x="13721149" y="13138"/>
          <a:ext cx="549461" cy="4107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44823</xdr:colOff>
      <xdr:row>0</xdr:row>
      <xdr:rowOff>44822</xdr:rowOff>
    </xdr:from>
    <xdr:to>
      <xdr:col>2</xdr:col>
      <xdr:colOff>690563</xdr:colOff>
      <xdr:row>1</xdr:row>
      <xdr:rowOff>150903</xdr:rowOff>
    </xdr:to>
    <xdr:pic>
      <xdr:nvPicPr>
        <xdr:cNvPr id="8" name="Imagem 7"/>
        <xdr:cNvPicPr>
          <a:picLocks noChangeAspect="1"/>
        </xdr:cNvPicPr>
      </xdr:nvPicPr>
      <xdr:blipFill rotWithShape="1">
        <a:blip xmlns:r="http://schemas.openxmlformats.org/officeDocument/2006/relationships" r:embed="rId3" cstate="print"/>
        <a:srcRect l="22998" t="22828" r="16448" b="60933"/>
        <a:stretch/>
      </xdr:blipFill>
      <xdr:spPr>
        <a:xfrm>
          <a:off x="44823" y="44822"/>
          <a:ext cx="2322140" cy="306106"/>
        </a:xfrm>
        <a:prstGeom prst="rect">
          <a:avLst/>
        </a:prstGeom>
      </xdr:spPr>
    </xdr:pic>
    <xdr:clientData/>
  </xdr:twoCellAnchor>
  <xdr:twoCellAnchor>
    <xdr:from>
      <xdr:col>8</xdr:col>
      <xdr:colOff>938599</xdr:colOff>
      <xdr:row>0</xdr:row>
      <xdr:rowOff>13138</xdr:rowOff>
    </xdr:from>
    <xdr:to>
      <xdr:col>9</xdr:col>
      <xdr:colOff>326010</xdr:colOff>
      <xdr:row>2</xdr:row>
      <xdr:rowOff>23812</xdr:rowOff>
    </xdr:to>
    <xdr:pic>
      <xdr:nvPicPr>
        <xdr:cNvPr id="9" name="Picture 2818" descr="logo cl"/>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r="2076"/>
        <a:stretch/>
      </xdr:blipFill>
      <xdr:spPr bwMode="auto">
        <a:xfrm>
          <a:off x="13721149" y="13138"/>
          <a:ext cx="549461" cy="4107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44823</xdr:colOff>
      <xdr:row>0</xdr:row>
      <xdr:rowOff>44822</xdr:rowOff>
    </xdr:from>
    <xdr:to>
      <xdr:col>2</xdr:col>
      <xdr:colOff>690563</xdr:colOff>
      <xdr:row>1</xdr:row>
      <xdr:rowOff>150903</xdr:rowOff>
    </xdr:to>
    <xdr:pic>
      <xdr:nvPicPr>
        <xdr:cNvPr id="10" name="Imagem 9"/>
        <xdr:cNvPicPr>
          <a:picLocks noChangeAspect="1"/>
        </xdr:cNvPicPr>
      </xdr:nvPicPr>
      <xdr:blipFill rotWithShape="1">
        <a:blip xmlns:r="http://schemas.openxmlformats.org/officeDocument/2006/relationships" r:embed="rId3" cstate="print"/>
        <a:srcRect l="22998" t="22828" r="16448" b="60933"/>
        <a:stretch/>
      </xdr:blipFill>
      <xdr:spPr>
        <a:xfrm>
          <a:off x="44823" y="44822"/>
          <a:ext cx="2322140" cy="306106"/>
        </a:xfrm>
        <a:prstGeom prst="rect">
          <a:avLst/>
        </a:prstGeom>
      </xdr:spPr>
    </xdr:pic>
    <xdr:clientData/>
  </xdr:twoCellAnchor>
  <xdr:twoCellAnchor>
    <xdr:from>
      <xdr:col>8</xdr:col>
      <xdr:colOff>938599</xdr:colOff>
      <xdr:row>0</xdr:row>
      <xdr:rowOff>13138</xdr:rowOff>
    </xdr:from>
    <xdr:to>
      <xdr:col>9</xdr:col>
      <xdr:colOff>326010</xdr:colOff>
      <xdr:row>2</xdr:row>
      <xdr:rowOff>23812</xdr:rowOff>
    </xdr:to>
    <xdr:pic>
      <xdr:nvPicPr>
        <xdr:cNvPr id="11" name="Picture 2818" descr="logo cl"/>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r="2076"/>
        <a:stretch/>
      </xdr:blipFill>
      <xdr:spPr bwMode="auto">
        <a:xfrm>
          <a:off x="13721149" y="13138"/>
          <a:ext cx="549461" cy="4107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199;O.GOIANA%20-%201.SERV.PRELIMIN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199;O.GOIANA%20-%202.ARQUITETUR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199;O.GOIANA%20-%203.FUND.%20E%20ESTRUTURA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199;O.GOIANA%20-%204.ELETRIC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199;O.GOIANA%20-%205.%20E%206.CFTV.TELEMATIC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199;O.GOIANA%20-%207.%20E%208.HIDROSSANIT&#193;RI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199;O.GOIANA%20-%209.AR%20CONDICIONADO.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
      <sheetName val="MOBILIZAÇÃO "/>
      <sheetName val="R.C."/>
      <sheetName val="L.I.COT."/>
      <sheetName val="L.I.SINAPI"/>
      <sheetName val="L.S.SINAPI"/>
      <sheetName val="L.S.COHAB"/>
      <sheetName val="L.S.EMLURB"/>
      <sheetName val="L.S.COMPESA"/>
      <sheetName val="L.S.SICRO 2"/>
      <sheetName val="L.I.SICRO EQ"/>
      <sheetName val="L.I.SICRO MAT"/>
      <sheetName val="L.I.SICRO MO"/>
      <sheetName val="MODELO"/>
      <sheetName val="CCOMPS0001"/>
      <sheetName val="L.S.EML..."/>
      <sheetName val="CCOMPS0002"/>
      <sheetName val="CCOMPS0003"/>
      <sheetName val="CCOMPS0004"/>
      <sheetName val="CCOMPS0005"/>
      <sheetName val="CCOMPS0006"/>
      <sheetName val="CCOMPS0007"/>
      <sheetName val="CCOMPS0008"/>
      <sheetName val="CCOMPS0009"/>
      <sheetName val="CCOMPS0010"/>
      <sheetName val="CCOMPS0011"/>
      <sheetName val="CCOMPS0012"/>
      <sheetName val="CCOMPS0013"/>
      <sheetName val="CCOMPS0014"/>
      <sheetName val="MODELO (2)"/>
      <sheetName val="CCMOBILIZAÇÃO"/>
      <sheetName val="CCDESMOBILIZAÇÃO"/>
      <sheetName val="Plan2"/>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EQUIPAMENTO/COTAÇÕES</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v>0</v>
          </cell>
          <cell r="B11">
            <v>0</v>
          </cell>
          <cell r="C11">
            <v>0</v>
          </cell>
          <cell r="D11">
            <v>0</v>
          </cell>
          <cell r="E11">
            <v>0</v>
          </cell>
          <cell r="F11">
            <v>0</v>
          </cell>
          <cell r="G11">
            <v>0</v>
          </cell>
          <cell r="H11">
            <v>0</v>
          </cell>
          <cell r="I11">
            <v>0</v>
          </cell>
          <cell r="J11">
            <v>0</v>
          </cell>
        </row>
        <row r="12">
          <cell r="A12" t="str">
            <v>1.0</v>
          </cell>
          <cell r="B12">
            <v>0</v>
          </cell>
          <cell r="C12">
            <v>0</v>
          </cell>
          <cell r="D12" t="str">
            <v>SERVIÇOS PRELIMINARES</v>
          </cell>
          <cell r="E12" t="str">
            <v/>
          </cell>
          <cell r="F12">
            <v>0</v>
          </cell>
          <cell r="G12" t="str">
            <v/>
          </cell>
          <cell r="H12">
            <v>0</v>
          </cell>
          <cell r="I12">
            <v>345162.13</v>
          </cell>
          <cell r="J12">
            <v>0</v>
          </cell>
        </row>
        <row r="13">
          <cell r="A13">
            <v>0</v>
          </cell>
          <cell r="B13">
            <v>0</v>
          </cell>
          <cell r="C13">
            <v>0</v>
          </cell>
          <cell r="D13" t="str">
            <v/>
          </cell>
          <cell r="E13" t="str">
            <v/>
          </cell>
          <cell r="F13">
            <v>0</v>
          </cell>
          <cell r="G13" t="str">
            <v/>
          </cell>
          <cell r="H13" t="str">
            <v/>
          </cell>
          <cell r="I13">
            <v>0</v>
          </cell>
          <cell r="J13">
            <v>0</v>
          </cell>
        </row>
        <row r="14">
          <cell r="A14" t="str">
            <v>1.1</v>
          </cell>
          <cell r="B14">
            <v>0</v>
          </cell>
          <cell r="C14">
            <v>0</v>
          </cell>
          <cell r="D14" t="str">
            <v>ADMINISTRAÇÃO E CANTEIRO DE OBRA</v>
          </cell>
          <cell r="E14" t="str">
            <v/>
          </cell>
          <cell r="F14">
            <v>0</v>
          </cell>
          <cell r="G14" t="str">
            <v/>
          </cell>
          <cell r="H14">
            <v>0</v>
          </cell>
          <cell r="I14">
            <v>0</v>
          </cell>
          <cell r="J14">
            <v>0</v>
          </cell>
        </row>
        <row r="15">
          <cell r="A15">
            <v>0</v>
          </cell>
          <cell r="B15">
            <v>0</v>
          </cell>
          <cell r="C15">
            <v>0</v>
          </cell>
          <cell r="D15" t="str">
            <v/>
          </cell>
          <cell r="E15" t="str">
            <v/>
          </cell>
          <cell r="F15">
            <v>0</v>
          </cell>
          <cell r="G15" t="str">
            <v/>
          </cell>
          <cell r="H15">
            <v>0</v>
          </cell>
          <cell r="I15">
            <v>0</v>
          </cell>
          <cell r="J15">
            <v>0</v>
          </cell>
        </row>
        <row r="16">
          <cell r="A16" t="str">
            <v>1.1.1</v>
          </cell>
          <cell r="B16" t="str">
            <v>COMPS0009</v>
          </cell>
          <cell r="C16" t="str">
            <v>COMPOSIÇÃO</v>
          </cell>
          <cell r="D16" t="str">
            <v>EQUIPE DE ADMINISTRAÇÃO DA OBRA</v>
          </cell>
          <cell r="E16" t="str">
            <v>MÊS</v>
          </cell>
          <cell r="F16">
            <v>9</v>
          </cell>
          <cell r="G16">
            <v>12103.183225000001</v>
          </cell>
          <cell r="H16">
            <v>15128.98</v>
          </cell>
          <cell r="I16">
            <v>136160.82</v>
          </cell>
          <cell r="J16">
            <v>0.25</v>
          </cell>
        </row>
        <row r="17">
          <cell r="A17" t="str">
            <v>1.1.2</v>
          </cell>
          <cell r="B17" t="str">
            <v>COMPS0010</v>
          </cell>
          <cell r="C17" t="str">
            <v>COMPOSIÇÃO</v>
          </cell>
          <cell r="D17" t="str">
            <v>OPERAÇÃO E MANUTENÇÃO DO CANTEIRO</v>
          </cell>
          <cell r="E17" t="str">
            <v>CJ</v>
          </cell>
          <cell r="F17">
            <v>1</v>
          </cell>
          <cell r="G17">
            <v>20262.129999999997</v>
          </cell>
          <cell r="H17">
            <v>25327.66</v>
          </cell>
          <cell r="I17">
            <v>25327.66</v>
          </cell>
          <cell r="J17">
            <v>0.25</v>
          </cell>
        </row>
        <row r="18">
          <cell r="A18" t="str">
            <v>1.1.3</v>
          </cell>
          <cell r="B18" t="str">
            <v>COMPS0012</v>
          </cell>
          <cell r="C18" t="str">
            <v>COMPOSIÇÃO</v>
          </cell>
          <cell r="D18" t="str">
            <v>MOBILIZAÇÃO/ DESMOBILIZAÇÃO</v>
          </cell>
          <cell r="E18" t="str">
            <v>CJ</v>
          </cell>
          <cell r="F18">
            <v>1</v>
          </cell>
          <cell r="G18">
            <v>3558.6</v>
          </cell>
          <cell r="H18">
            <v>4448.25</v>
          </cell>
          <cell r="I18">
            <v>4448.25</v>
          </cell>
          <cell r="J18">
            <v>0.25</v>
          </cell>
        </row>
        <row r="19">
          <cell r="A19">
            <v>0</v>
          </cell>
          <cell r="B19">
            <v>0</v>
          </cell>
          <cell r="C19">
            <v>0</v>
          </cell>
          <cell r="D19" t="str">
            <v/>
          </cell>
          <cell r="E19" t="str">
            <v/>
          </cell>
          <cell r="F19">
            <v>0</v>
          </cell>
          <cell r="G19" t="str">
            <v/>
          </cell>
          <cell r="H19">
            <v>0</v>
          </cell>
          <cell r="I19">
            <v>0</v>
          </cell>
          <cell r="J19">
            <v>0</v>
          </cell>
        </row>
        <row r="20">
          <cell r="A20">
            <v>0</v>
          </cell>
          <cell r="B20">
            <v>0</v>
          </cell>
          <cell r="C20">
            <v>0</v>
          </cell>
          <cell r="D20" t="str">
            <v/>
          </cell>
          <cell r="E20" t="str">
            <v/>
          </cell>
          <cell r="F20">
            <v>0</v>
          </cell>
          <cell r="G20" t="str">
            <v/>
          </cell>
          <cell r="H20">
            <v>0</v>
          </cell>
          <cell r="I20">
            <v>0</v>
          </cell>
          <cell r="J20">
            <v>0</v>
          </cell>
        </row>
        <row r="21">
          <cell r="A21" t="str">
            <v>1.2</v>
          </cell>
          <cell r="B21">
            <v>0</v>
          </cell>
          <cell r="C21">
            <v>0</v>
          </cell>
          <cell r="D21" t="str">
            <v>INSTALAÇÕES FÍSICAS DO CANTEIRO</v>
          </cell>
          <cell r="E21" t="str">
            <v/>
          </cell>
          <cell r="F21">
            <v>0</v>
          </cell>
          <cell r="G21" t="str">
            <v/>
          </cell>
          <cell r="H21">
            <v>0</v>
          </cell>
          <cell r="I21">
            <v>0</v>
          </cell>
          <cell r="J21">
            <v>0</v>
          </cell>
        </row>
        <row r="22">
          <cell r="A22">
            <v>0</v>
          </cell>
          <cell r="B22">
            <v>0</v>
          </cell>
          <cell r="C22">
            <v>0</v>
          </cell>
          <cell r="D22" t="str">
            <v/>
          </cell>
          <cell r="E22" t="str">
            <v/>
          </cell>
          <cell r="F22">
            <v>0</v>
          </cell>
          <cell r="G22" t="str">
            <v/>
          </cell>
          <cell r="H22">
            <v>0</v>
          </cell>
          <cell r="I22">
            <v>0</v>
          </cell>
          <cell r="J22">
            <v>0</v>
          </cell>
        </row>
        <row r="23">
          <cell r="A23" t="str">
            <v>1.2.1</v>
          </cell>
          <cell r="B23">
            <v>0</v>
          </cell>
          <cell r="C23">
            <v>0</v>
          </cell>
          <cell r="D23" t="str">
            <v>TRANSPORTE</v>
          </cell>
          <cell r="E23" t="str">
            <v/>
          </cell>
          <cell r="F23">
            <v>0</v>
          </cell>
          <cell r="G23" t="str">
            <v/>
          </cell>
          <cell r="H23">
            <v>0</v>
          </cell>
          <cell r="I23">
            <v>0</v>
          </cell>
          <cell r="J23">
            <v>0</v>
          </cell>
        </row>
        <row r="24">
          <cell r="A24" t="str">
            <v>1.2.1.1</v>
          </cell>
          <cell r="B24" t="str">
            <v>COMPS0006</v>
          </cell>
          <cell r="C24" t="str">
            <v>COMPOSIÇÃO</v>
          </cell>
          <cell r="D24" t="str">
            <v>CARGA MECANIZADA E REMOÇÃO DE ENTULHO COM TRANSPORTE DE ATÉ 15,80KM</v>
          </cell>
          <cell r="E24" t="str">
            <v>M3</v>
          </cell>
          <cell r="F24">
            <v>90.7</v>
          </cell>
          <cell r="G24">
            <v>13.790000000000001</v>
          </cell>
          <cell r="H24">
            <v>17.239999999999998</v>
          </cell>
          <cell r="I24">
            <v>1563.67</v>
          </cell>
          <cell r="J24">
            <v>0.25</v>
          </cell>
        </row>
        <row r="25">
          <cell r="A25" t="str">
            <v>1.2.1.2</v>
          </cell>
          <cell r="B25" t="str">
            <v>COMPS0007</v>
          </cell>
          <cell r="C25" t="str">
            <v>COMPOSIÇÃO</v>
          </cell>
          <cell r="D25" t="str">
            <v>CARGA MECANIZADA E REMOÇÃO DE ENTULHO COM TRANSPORTE DE ATÉ 10,1KM</v>
          </cell>
          <cell r="E25" t="str">
            <v>M3</v>
          </cell>
          <cell r="F25">
            <v>90.7</v>
          </cell>
          <cell r="G25">
            <v>8.83</v>
          </cell>
          <cell r="H25">
            <v>11.04</v>
          </cell>
          <cell r="I25">
            <v>1001.33</v>
          </cell>
          <cell r="J25">
            <v>0.25</v>
          </cell>
        </row>
        <row r="26">
          <cell r="A26" t="str">
            <v>1.2.1.3</v>
          </cell>
          <cell r="B26" t="str">
            <v>COTIS0004</v>
          </cell>
          <cell r="C26" t="str">
            <v>COTAÇÃO</v>
          </cell>
          <cell r="D26" t="str">
            <v>TRATAMENTO DE RESÍDUOS DA CONSTRUÇÃO CIVIL E DEMOLIÇÃO (ENTULHOS/METRALHA)</v>
          </cell>
          <cell r="E26" t="str">
            <v>TON</v>
          </cell>
          <cell r="F26">
            <v>57.920000000000009</v>
          </cell>
          <cell r="G26">
            <v>81.784024653374018</v>
          </cell>
          <cell r="H26">
            <v>95.52</v>
          </cell>
          <cell r="I26">
            <v>5532.52</v>
          </cell>
          <cell r="J26">
            <v>0.16800000000000001</v>
          </cell>
        </row>
        <row r="27">
          <cell r="A27">
            <v>0</v>
          </cell>
          <cell r="B27">
            <v>0</v>
          </cell>
          <cell r="C27">
            <v>0</v>
          </cell>
          <cell r="D27" t="str">
            <v/>
          </cell>
          <cell r="E27" t="str">
            <v/>
          </cell>
          <cell r="F27">
            <v>0</v>
          </cell>
          <cell r="G27" t="str">
            <v/>
          </cell>
          <cell r="H27">
            <v>0</v>
          </cell>
          <cell r="I27">
            <v>0</v>
          </cell>
          <cell r="J27">
            <v>0</v>
          </cell>
        </row>
        <row r="28">
          <cell r="A28" t="str">
            <v>1.2.2</v>
          </cell>
          <cell r="B28">
            <v>0</v>
          </cell>
          <cell r="C28">
            <v>0</v>
          </cell>
          <cell r="D28" t="str">
            <v>ELEMENTOS PROVISÓRIOS</v>
          </cell>
          <cell r="E28" t="str">
            <v/>
          </cell>
          <cell r="F28">
            <v>0</v>
          </cell>
          <cell r="G28" t="str">
            <v/>
          </cell>
          <cell r="H28">
            <v>0</v>
          </cell>
          <cell r="I28">
            <v>0</v>
          </cell>
          <cell r="J28">
            <v>0</v>
          </cell>
        </row>
        <row r="29">
          <cell r="A29" t="str">
            <v>1.2.2.1</v>
          </cell>
          <cell r="B29" t="str">
            <v>74220/001</v>
          </cell>
          <cell r="C29" t="str">
            <v>SINAPI SERVIÇO</v>
          </cell>
          <cell r="D29" t="str">
            <v>TAPUME DE CHAPA DE MADEIRA COMPENSADA, E= 6MM, COM PINTURA A CAL E REA   PROVEITAMENTO DE 2X</v>
          </cell>
          <cell r="E29" t="str">
            <v>M2</v>
          </cell>
          <cell r="F29">
            <v>120</v>
          </cell>
          <cell r="G29">
            <v>43.84</v>
          </cell>
          <cell r="H29">
            <v>54.8</v>
          </cell>
          <cell r="I29">
            <v>6576</v>
          </cell>
          <cell r="J29">
            <v>0.25</v>
          </cell>
        </row>
        <row r="30">
          <cell r="A30" t="str">
            <v>1.2.2.2</v>
          </cell>
          <cell r="B30" t="str">
            <v>COMPS0005</v>
          </cell>
          <cell r="C30" t="str">
            <v>COMPOSIÇÃO</v>
          </cell>
          <cell r="D30" t="str">
            <v>RETIRADA E REASSENTAMENTO DE TAPUME EM CHAPAS DE MADEIRA COMPENSADA DE 6 MM.</v>
          </cell>
          <cell r="E30" t="str">
            <v>M2</v>
          </cell>
          <cell r="F30">
            <v>120</v>
          </cell>
          <cell r="G30">
            <v>34.9</v>
          </cell>
          <cell r="H30">
            <v>43.63</v>
          </cell>
          <cell r="I30">
            <v>5235.6000000000004</v>
          </cell>
          <cell r="J30">
            <v>0.25</v>
          </cell>
        </row>
        <row r="31">
          <cell r="A31" t="str">
            <v>1.2.2.3</v>
          </cell>
          <cell r="B31" t="str">
            <v>74209/001</v>
          </cell>
          <cell r="C31" t="str">
            <v>SINAPI SERVIÇO</v>
          </cell>
          <cell r="D31" t="str">
            <v>PLACA DE OBRA EM CHAPA DE ACO GALVANIZADO</v>
          </cell>
          <cell r="E31" t="str">
            <v>M2</v>
          </cell>
          <cell r="F31">
            <v>12</v>
          </cell>
          <cell r="G31">
            <v>281.58999999999997</v>
          </cell>
          <cell r="H31">
            <v>351.99</v>
          </cell>
          <cell r="I31">
            <v>4223.88</v>
          </cell>
          <cell r="J31">
            <v>0.25</v>
          </cell>
        </row>
        <row r="32">
          <cell r="A32" t="str">
            <v>1.2.2.4</v>
          </cell>
          <cell r="B32" t="str">
            <v>COMPS0013</v>
          </cell>
          <cell r="C32" t="str">
            <v>COMPOSIÇÃO</v>
          </cell>
          <cell r="D32" t="str">
            <v>BARRACAO DE OBRA EM CHAPA DE MADEIRA COMPENSADA COM BANHEIRO, COBERTURA EM FIBROCIMENTO 4 MM, INCLUSO INSTALACOES HIDROSANITARIAS E ELETRICAS - ESCRITÓRIO</v>
          </cell>
          <cell r="E32" t="str">
            <v>M2</v>
          </cell>
          <cell r="F32">
            <v>50</v>
          </cell>
          <cell r="G32">
            <v>186.85000000000002</v>
          </cell>
          <cell r="H32">
            <v>233.56</v>
          </cell>
          <cell r="I32">
            <v>11678</v>
          </cell>
          <cell r="J32">
            <v>0.25</v>
          </cell>
        </row>
        <row r="33">
          <cell r="A33" t="str">
            <v>1.2.2.5</v>
          </cell>
          <cell r="B33" t="str">
            <v>COMPS0014</v>
          </cell>
          <cell r="C33" t="str">
            <v>COMPOSIÇÃO</v>
          </cell>
          <cell r="D33" t="str">
            <v>BARRACAO DE OBRA EM CHAPA DE MADEIRA COMPENSADA SEM BANHEIRO, COBERTURA EM FIBROCIMENTO 4 MM, INCLUSO INSTALACOES HIDROSANITARIAS E ELETRICAS - ALMOXARIFADO</v>
          </cell>
          <cell r="E33" t="str">
            <v>M2</v>
          </cell>
          <cell r="F33">
            <v>20</v>
          </cell>
          <cell r="G33">
            <v>167.94</v>
          </cell>
          <cell r="H33">
            <v>209.93</v>
          </cell>
          <cell r="I33">
            <v>4198.6000000000004</v>
          </cell>
          <cell r="J33">
            <v>0.25</v>
          </cell>
        </row>
        <row r="34">
          <cell r="A34">
            <v>0</v>
          </cell>
          <cell r="B34">
            <v>0</v>
          </cell>
          <cell r="C34">
            <v>0</v>
          </cell>
          <cell r="D34" t="str">
            <v/>
          </cell>
          <cell r="E34" t="str">
            <v/>
          </cell>
          <cell r="F34">
            <v>0</v>
          </cell>
          <cell r="G34" t="str">
            <v/>
          </cell>
          <cell r="H34">
            <v>0</v>
          </cell>
          <cell r="I34">
            <v>0</v>
          </cell>
          <cell r="J34">
            <v>0</v>
          </cell>
        </row>
        <row r="35">
          <cell r="A35" t="str">
            <v>1.3</v>
          </cell>
          <cell r="B35">
            <v>0</v>
          </cell>
          <cell r="C35">
            <v>0</v>
          </cell>
          <cell r="D35" t="str">
            <v>SERVIÇOS ARQUEOLÓGICOS</v>
          </cell>
          <cell r="E35" t="str">
            <v/>
          </cell>
          <cell r="F35">
            <v>0</v>
          </cell>
          <cell r="G35" t="str">
            <v/>
          </cell>
          <cell r="H35">
            <v>0</v>
          </cell>
          <cell r="I35">
            <v>0</v>
          </cell>
          <cell r="J35">
            <v>0</v>
          </cell>
        </row>
        <row r="36">
          <cell r="A36">
            <v>0</v>
          </cell>
          <cell r="B36">
            <v>0</v>
          </cell>
          <cell r="C36">
            <v>0</v>
          </cell>
          <cell r="D36" t="str">
            <v/>
          </cell>
          <cell r="E36" t="str">
            <v/>
          </cell>
          <cell r="F36">
            <v>0</v>
          </cell>
          <cell r="G36" t="str">
            <v/>
          </cell>
          <cell r="H36">
            <v>0</v>
          </cell>
          <cell r="I36">
            <v>0</v>
          </cell>
          <cell r="J36">
            <v>0</v>
          </cell>
        </row>
        <row r="37">
          <cell r="A37" t="str">
            <v>1.3.1</v>
          </cell>
          <cell r="B37" t="str">
            <v>COTSV0001</v>
          </cell>
          <cell r="C37" t="str">
            <v>COTAÇÃO</v>
          </cell>
          <cell r="D37" t="str">
            <v>SERVIÇO ARQUEOLÓGICO A SER EXECUTADO NO LOCAL DA OBRA CONTENDO OS SEGUINTE PRODUTOS:• REALIZAÇÃO DE PESQUISA HISTÓRICA; • PROSPECÇÃO ARQUEOLÓGICA DE COTAS NEGATIVAS, INTERNA E EXTERNA, PARA RECUPERAÇÃO DA PLANTA E ALTERAÇÕES ARQUITETÔNICAS; • PROSPECÇÕES ARQUEOLÓGICAS DE COTAS POSITIVAS PARA IDENTIFICAÇÃO DOS MATERIAIS, SISTEMA CONSTRUTIVO E DESENVOLVIMENTO ESTRUTURAL;• DOCUMENTÁRIO FOTOGRÁFICO DOS TRABALHOS DESENVOLVIDOS, DA SITUAÇÃO ENCONTRADA E DE ENTREGA SERVIÇOS;• CATALOGAÇÃO, DOCUMENTAÇÃO E ACONDICIONAMENTO DO MATERIAL COLETADO;• RELATÓRIO FINAL COM OS RESULTADOS DO TRABALHO.</v>
          </cell>
          <cell r="E37" t="str">
            <v>UND</v>
          </cell>
          <cell r="F37">
            <v>1</v>
          </cell>
          <cell r="G37">
            <v>119191.60716506213</v>
          </cell>
          <cell r="H37">
            <v>139215.79999999999</v>
          </cell>
          <cell r="I37">
            <v>139215.79999999999</v>
          </cell>
          <cell r="J37">
            <v>0.16800000000000001</v>
          </cell>
        </row>
        <row r="38">
          <cell r="A38">
            <v>0</v>
          </cell>
          <cell r="B38">
            <v>0</v>
          </cell>
          <cell r="C38">
            <v>0</v>
          </cell>
          <cell r="D38">
            <v>0</v>
          </cell>
          <cell r="E38">
            <v>0</v>
          </cell>
          <cell r="F38">
            <v>0</v>
          </cell>
          <cell r="G38">
            <v>0</v>
          </cell>
          <cell r="H38">
            <v>0</v>
          </cell>
          <cell r="I38">
            <v>0</v>
          </cell>
          <cell r="J38">
            <v>0</v>
          </cell>
        </row>
        <row r="39">
          <cell r="A39">
            <v>0</v>
          </cell>
          <cell r="B39">
            <v>0</v>
          </cell>
          <cell r="C39">
            <v>0</v>
          </cell>
          <cell r="D39">
            <v>0</v>
          </cell>
          <cell r="E39">
            <v>0</v>
          </cell>
          <cell r="F39">
            <v>0</v>
          </cell>
          <cell r="G39">
            <v>0</v>
          </cell>
          <cell r="H39">
            <v>0</v>
          </cell>
          <cell r="I39">
            <v>0</v>
          </cell>
          <cell r="J3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
      <sheetName val="MODELO"/>
      <sheetName val="R.C."/>
      <sheetName val="MOBILIZAÇÃO "/>
      <sheetName val="L.I.COT."/>
      <sheetName val="L.I.SINAPI"/>
      <sheetName val="L.S.SINAPI"/>
      <sheetName val="L.S.SICRO 2"/>
      <sheetName val="L.I.SICRO EQ"/>
      <sheetName val="L.I.SICRO MAT"/>
      <sheetName val="L.I.SICRO MO"/>
      <sheetName val="L.S.EMLURB"/>
      <sheetName val="L.S.COHAB"/>
      <sheetName val="L.S.COMPESA"/>
      <sheetName val="CCOMPS3001"/>
      <sheetName val="CCOMPS3002"/>
      <sheetName val="CCOMPS3003"/>
      <sheetName val="CCOMPS3004"/>
      <sheetName val="CCOMPS3005"/>
      <sheetName val="CCOMPS3006"/>
      <sheetName val="CCOMPS3007"/>
      <sheetName val="CCOMPS3008"/>
      <sheetName val="CCOMPS3009"/>
      <sheetName val="CCOMPS3010"/>
      <sheetName val="CCOMPS3011"/>
      <sheetName val="CCOMPS3012"/>
      <sheetName val="CCOMPS3013"/>
      <sheetName val="CCOMPS3014"/>
      <sheetName val="CCOMPS3015"/>
      <sheetName val="CCOMPS3016"/>
      <sheetName val="CCOMPS3018"/>
      <sheetName val="CCOMPS3019"/>
      <sheetName val="CCOMPS3020"/>
      <sheetName val="CCOMPS3021"/>
      <sheetName val="CCOMPS3022"/>
      <sheetName val="CCOMPS3023"/>
      <sheetName val="CCOMPS3024"/>
      <sheetName val="CCOMPS3025"/>
      <sheetName val="CCOMPS3026"/>
      <sheetName val="CCOMPS3027"/>
      <sheetName val="CCOMPS3028"/>
      <sheetName val="CCOMPS3029"/>
      <sheetName val="CCOMPS3030"/>
      <sheetName val="CCOMPS3031"/>
      <sheetName val="CCOMPS3032"/>
      <sheetName val="CCOMPS3033"/>
      <sheetName val="CCOMPS3034"/>
      <sheetName val="CCOMPS3035"/>
      <sheetName val="CCOMPS3036"/>
      <sheetName val="CCOMPS3037"/>
      <sheetName val="CCOMPS3038"/>
      <sheetName val="CCOMPS3039"/>
      <sheetName val="CCOMPS3040"/>
      <sheetName val="CCOMPS3041"/>
      <sheetName val="CCOMPS3042"/>
      <sheetName val="CCOMPS3043"/>
      <sheetName val="CCOMPS3044"/>
      <sheetName val="CCOMPS3045"/>
      <sheetName val="CCOMPS3046"/>
      <sheetName val="CCOMPS3047"/>
      <sheetName val="CCOMPS3048"/>
      <sheetName val="CCOMPS3049"/>
      <sheetName val="CCOMPS3050"/>
      <sheetName val="CCOMPS3051"/>
      <sheetName val="CCOMPS3052"/>
      <sheetName val="CCOMPS3053"/>
      <sheetName val="CCOMPS3054"/>
      <sheetName val="CCOMPS3055"/>
      <sheetName val="CCOMPS3056"/>
      <sheetName val="CCOMPS3057"/>
      <sheetName val="CCOMPS3058"/>
      <sheetName val="CCOMPS3059"/>
      <sheetName val="CCOMPS3060"/>
      <sheetName val="CCOMPS3061"/>
      <sheetName val="CCOMPS3062"/>
      <sheetName val="CCOMPS3063"/>
      <sheetName val="CCOMPS3064"/>
      <sheetName val="CCOMPS3065"/>
      <sheetName val="CCOMPS3066"/>
      <sheetName val="CCOMPS3067"/>
      <sheetName val="CCOMPS3068"/>
      <sheetName val="CCOMPS3069"/>
      <sheetName val="CCOMPS3070"/>
      <sheetName val="CCOMPS3071"/>
      <sheetName val="CCOMPS3072"/>
      <sheetName val="CCOMPS3073"/>
      <sheetName val="CCOMPS3074"/>
      <sheetName val="CCOMPS3075"/>
      <sheetName val="CCOMPS3076"/>
      <sheetName val="CCOMPS3077"/>
      <sheetName val="CCOMPS3078"/>
      <sheetName val="CCOMPS3080"/>
      <sheetName val="CCOMPS3081"/>
      <sheetName val="CCOMPS3082"/>
      <sheetName val="CCOMPS3083"/>
      <sheetName val="CCOMPS3084"/>
      <sheetName val="CCOMPS3085"/>
      <sheetName val="CCOMPS3086"/>
      <sheetName val="CCOMPS3087"/>
      <sheetName val="CCOMPS3088"/>
      <sheetName val="CCOMPS3092"/>
      <sheetName val="CCOMPS3093"/>
      <sheetName val="CCOMPS3094"/>
      <sheetName val="CCOMPS3095"/>
      <sheetName val="CCOMPS3096"/>
      <sheetName val="CCOMPS3097"/>
      <sheetName val="CCOMPS3098"/>
      <sheetName val="CCOMPS3099"/>
      <sheetName val="CCOMPS3100"/>
      <sheetName val="CCOMPS12001"/>
      <sheetName val="CCOMPS12002"/>
      <sheetName val="CCOMPS3101"/>
      <sheetName val="CCOMPS12003"/>
      <sheetName val="CCOMPS12004"/>
      <sheetName val="CCOMPS12005"/>
      <sheetName val="CCOMPS12006"/>
      <sheetName val="CCOMPS12007"/>
      <sheetName val="CCOMPS15001"/>
      <sheetName val="CCOMPS15002"/>
      <sheetName val="CCOMPS15003"/>
      <sheetName val="CCOMPS15004"/>
      <sheetName val="CCOMPS15005"/>
      <sheetName val="CCOMPS15006"/>
      <sheetName val="CCOMPS15007"/>
      <sheetName val="CCOMPS15008"/>
      <sheetName val="CCOMPS15009"/>
      <sheetName val="CCOMPS15010"/>
      <sheetName val="CCOMPS15011"/>
      <sheetName val="CCOMPS15012"/>
      <sheetName val="CCOMPS15013"/>
      <sheetName val="CCOMPS27001"/>
      <sheetName val="CCOMPS27002"/>
      <sheetName val="CCOMPS27003"/>
      <sheetName val="CCOMPS27004"/>
      <sheetName val="CCOMPS27005"/>
      <sheetName val="CCOMPS27006"/>
      <sheetName val="CCOMPS27007"/>
      <sheetName val="CCOMPS27008"/>
      <sheetName val="CCOMPS27009"/>
      <sheetName val="CCOMPS27010"/>
      <sheetName val="CCOMPS27011"/>
      <sheetName val="CCOMPS27012"/>
      <sheetName val="CCOMPS27013"/>
      <sheetName val="CCOMPS27014"/>
      <sheetName val="CCOMPS27015"/>
      <sheetName val="CCOMPS27016"/>
      <sheetName val="CCOMPS27022"/>
      <sheetName val="CCOMPS27023"/>
      <sheetName val="CCOMPS27024"/>
      <sheetName val="CCOMPS27025"/>
      <sheetName val="CCOMPS27026"/>
      <sheetName val="CCOMPS27027"/>
      <sheetName val="CCOMPS27028"/>
      <sheetName val="CCC2780"/>
      <sheetName val="CC8624"/>
      <sheetName val="CC88489-A1"/>
      <sheetName val="CC88487-A2"/>
      <sheetName val="CC88487-A3"/>
      <sheetName val="CC88489-A2"/>
      <sheetName val="CC1947"/>
      <sheetName val="CC017.003.021"/>
      <sheetName val="CC86888-A"/>
      <sheetName val="CC2066"/>
      <sheetName val="CC86879-A"/>
      <sheetName val="CC87374"/>
      <sheetName val="CC86900-A1"/>
      <sheetName val="CC86900-A2"/>
      <sheetName val="CC86900-A3"/>
      <sheetName val="CC4859"/>
      <sheetName val="CC74069-2-A"/>
      <sheetName val="CC4859-A"/>
      <sheetName val="CCC2035"/>
      <sheetName val="CC74068-6-A"/>
      <sheetName val="CC73692-A"/>
      <sheetName val="CC005.002.001"/>
      <sheetName val="CCOMPS3079"/>
      <sheetName val="CCOMPS3102"/>
      <sheetName val="CCOMPS3103"/>
      <sheetName val="CCOMPS3104"/>
      <sheetName val="L.S.EML..."/>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EQUIPAMENTO/COTAÇÕES</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t="str">
            <v>2.1.3.5.13</v>
          </cell>
          <cell r="B11">
            <v>9535</v>
          </cell>
          <cell r="C11" t="str">
            <v>SINAPI SERVIÇO</v>
          </cell>
          <cell r="D11" t="str">
            <v>CHUVEIRO ELETRICO COMUM CORPO PLASTICO TIPO DUCHA, FORNECIMENTO E INST   ALACAO</v>
          </cell>
          <cell r="E11" t="str">
            <v>UN</v>
          </cell>
          <cell r="F11">
            <v>2</v>
          </cell>
          <cell r="G11">
            <v>56.34</v>
          </cell>
          <cell r="H11">
            <v>70.430000000000007</v>
          </cell>
          <cell r="I11">
            <v>140.86000000000001</v>
          </cell>
          <cell r="J11">
            <v>0.25</v>
          </cell>
        </row>
        <row r="12">
          <cell r="A12" t="str">
            <v>2.1.2.2.3</v>
          </cell>
          <cell r="B12">
            <v>72125</v>
          </cell>
          <cell r="C12" t="str">
            <v>SINAPI SERVIÇO</v>
          </cell>
          <cell r="D12" t="str">
            <v>REMOÇÃO DE PINTURA PVA/ACRILICA</v>
          </cell>
          <cell r="E12" t="str">
            <v>M2</v>
          </cell>
          <cell r="F12">
            <v>618.1</v>
          </cell>
          <cell r="G12">
            <v>6.33</v>
          </cell>
          <cell r="H12">
            <v>7.91</v>
          </cell>
          <cell r="I12">
            <v>4889.17</v>
          </cell>
          <cell r="J12">
            <v>0.25</v>
          </cell>
        </row>
        <row r="13">
          <cell r="A13" t="str">
            <v>2.1.1.7.1</v>
          </cell>
          <cell r="B13">
            <v>72142</v>
          </cell>
          <cell r="C13" t="str">
            <v>SINAPI SERVIÇO</v>
          </cell>
          <cell r="D13" t="str">
            <v>RETIRADA DE FOLHAS DE PORTA DE PASSAGEM OU JANELA</v>
          </cell>
          <cell r="E13" t="str">
            <v>UN</v>
          </cell>
          <cell r="F13">
            <v>32</v>
          </cell>
          <cell r="G13">
            <v>7.34</v>
          </cell>
          <cell r="H13">
            <v>9.18</v>
          </cell>
          <cell r="I13">
            <v>293.76</v>
          </cell>
          <cell r="J13">
            <v>0.25</v>
          </cell>
        </row>
        <row r="14">
          <cell r="A14" t="str">
            <v>2.1.1.7.2</v>
          </cell>
          <cell r="B14">
            <v>72143</v>
          </cell>
          <cell r="C14" t="str">
            <v>SINAPI SERVIÇO</v>
          </cell>
          <cell r="D14" t="str">
            <v>RETIRADA DE BATENTES DE MADEIRA</v>
          </cell>
          <cell r="E14" t="str">
            <v>UN</v>
          </cell>
          <cell r="F14">
            <v>32</v>
          </cell>
          <cell r="G14">
            <v>35.44</v>
          </cell>
          <cell r="H14">
            <v>44.3</v>
          </cell>
          <cell r="I14">
            <v>1417.6</v>
          </cell>
          <cell r="J14">
            <v>0.25</v>
          </cell>
        </row>
        <row r="15">
          <cell r="A15" t="str">
            <v>2.1.1.2.2</v>
          </cell>
          <cell r="B15">
            <v>72215</v>
          </cell>
          <cell r="C15" t="str">
            <v>SINAPI SERVIÇO</v>
          </cell>
          <cell r="D15" t="str">
            <v>DEMOLICAO DE ALVENARIA DE ELEMENTOS CERAMICOS VAZADOS</v>
          </cell>
          <cell r="E15" t="str">
            <v>M3</v>
          </cell>
          <cell r="F15">
            <v>86.35</v>
          </cell>
          <cell r="G15">
            <v>30.65</v>
          </cell>
          <cell r="H15">
            <v>38.31</v>
          </cell>
          <cell r="I15">
            <v>3308.07</v>
          </cell>
          <cell r="J15">
            <v>0.25</v>
          </cell>
        </row>
        <row r="16">
          <cell r="A16" t="str">
            <v>2.1.1.2.1</v>
          </cell>
          <cell r="B16">
            <v>72223</v>
          </cell>
          <cell r="C16" t="str">
            <v>SINAPI SERVIÇO</v>
          </cell>
          <cell r="D16" t="str">
            <v>RETIRADAS DE DIVISORIAS EM CHAPAS OU TABUAS, COM RETIRADA DO ENTARUGAM   ENTO</v>
          </cell>
          <cell r="E16" t="str">
            <v>M2</v>
          </cell>
          <cell r="F16">
            <v>137.44</v>
          </cell>
          <cell r="G16">
            <v>11.75</v>
          </cell>
          <cell r="H16">
            <v>14.69</v>
          </cell>
          <cell r="I16">
            <v>2018.99</v>
          </cell>
          <cell r="J16">
            <v>0.25</v>
          </cell>
        </row>
        <row r="17">
          <cell r="A17" t="str">
            <v>2.1.1.3.1</v>
          </cell>
          <cell r="B17">
            <v>72231</v>
          </cell>
          <cell r="C17" t="str">
            <v>SINAPI SERVIÇO</v>
          </cell>
          <cell r="D17" t="str">
            <v>RETIRADA DE TELHAS ONDULADAS</v>
          </cell>
          <cell r="E17" t="str">
            <v>M2</v>
          </cell>
          <cell r="F17">
            <v>226.05</v>
          </cell>
          <cell r="G17">
            <v>4.29</v>
          </cell>
          <cell r="H17">
            <v>5.36</v>
          </cell>
          <cell r="I17">
            <v>1211.6300000000001</v>
          </cell>
          <cell r="J17">
            <v>0.25</v>
          </cell>
        </row>
        <row r="18">
          <cell r="A18" t="str">
            <v>2.1.1.3.2</v>
          </cell>
          <cell r="B18">
            <v>72238</v>
          </cell>
          <cell r="C18" t="str">
            <v>SINAPI SERVIÇO</v>
          </cell>
          <cell r="D18" t="str">
            <v>RETIRADA DE FORRO EM REGUAS DE PVC, INCLUSIVE RETIRADA DE PERFIS</v>
          </cell>
          <cell r="E18" t="str">
            <v>M2</v>
          </cell>
          <cell r="F18">
            <v>171.3</v>
          </cell>
          <cell r="G18">
            <v>5.39</v>
          </cell>
          <cell r="H18">
            <v>6.74</v>
          </cell>
          <cell r="I18">
            <v>1154.56</v>
          </cell>
          <cell r="J18">
            <v>0.25</v>
          </cell>
        </row>
        <row r="19">
          <cell r="A19" t="str">
            <v>2.1.3.3.2.4</v>
          </cell>
          <cell r="B19">
            <v>83737</v>
          </cell>
          <cell r="C19" t="str">
            <v>SINAPI SERVIÇO</v>
          </cell>
          <cell r="D19" t="str">
            <v>IMPERMEABILIZACAO DE SUPERFICIE COM MANTA ASFALTICA (COM POLIMEROS TIP   O APP), E=3 MM</v>
          </cell>
          <cell r="E19" t="str">
            <v>M2</v>
          </cell>
          <cell r="F19">
            <v>60</v>
          </cell>
          <cell r="G19">
            <v>57.31</v>
          </cell>
          <cell r="H19">
            <v>71.64</v>
          </cell>
          <cell r="I19">
            <v>4298.3999999999996</v>
          </cell>
          <cell r="J19">
            <v>0.25</v>
          </cell>
        </row>
        <row r="20">
          <cell r="A20" t="str">
            <v>2.1.1.4.1</v>
          </cell>
          <cell r="B20">
            <v>85333</v>
          </cell>
          <cell r="C20" t="str">
            <v>SINAPI SERVIÇO</v>
          </cell>
          <cell r="D20" t="str">
            <v>RETIRADA DE APARELHOS SANITARIOS</v>
          </cell>
          <cell r="E20" t="str">
            <v>UN</v>
          </cell>
          <cell r="F20">
            <v>7</v>
          </cell>
          <cell r="G20">
            <v>13.55</v>
          </cell>
          <cell r="H20">
            <v>16.940000000000001</v>
          </cell>
          <cell r="I20">
            <v>118.58</v>
          </cell>
          <cell r="J20">
            <v>0.25</v>
          </cell>
        </row>
        <row r="21">
          <cell r="A21" t="str">
            <v>2.1.1.4.2</v>
          </cell>
          <cell r="B21">
            <v>85333</v>
          </cell>
          <cell r="C21" t="str">
            <v>SINAPI SERVIÇO</v>
          </cell>
          <cell r="D21" t="str">
            <v>RETIRADA DE APARELHOS SANITARIOS</v>
          </cell>
          <cell r="E21" t="str">
            <v>UN</v>
          </cell>
          <cell r="F21">
            <v>8</v>
          </cell>
          <cell r="G21">
            <v>13.55</v>
          </cell>
          <cell r="H21">
            <v>16.940000000000001</v>
          </cell>
          <cell r="I21">
            <v>135.52000000000001</v>
          </cell>
          <cell r="J21">
            <v>0.25</v>
          </cell>
        </row>
        <row r="22">
          <cell r="A22" t="str">
            <v>2.1.1.1.5</v>
          </cell>
          <cell r="B22">
            <v>85335</v>
          </cell>
          <cell r="C22" t="str">
            <v>SINAPI SERVIÇO</v>
          </cell>
          <cell r="D22" t="str">
            <v>RETIRADA DE MEIO FIO C/ EMPILHAMENTO E S/ REMOCAO</v>
          </cell>
          <cell r="E22" t="str">
            <v>M</v>
          </cell>
          <cell r="F22">
            <v>61.88</v>
          </cell>
          <cell r="G22">
            <v>5.69</v>
          </cell>
          <cell r="H22">
            <v>7.11</v>
          </cell>
          <cell r="I22">
            <v>439.97</v>
          </cell>
          <cell r="J22">
            <v>0.25</v>
          </cell>
        </row>
        <row r="23">
          <cell r="A23" t="str">
            <v>2.1.1.1.1</v>
          </cell>
          <cell r="B23">
            <v>85370</v>
          </cell>
          <cell r="C23" t="str">
            <v>SINAPI SERVIÇO</v>
          </cell>
          <cell r="D23" t="str">
            <v>DEMOLICAO MANUAL DE LAJE PREMOLDADA COM TRANSPORTE E CARGA EM CAMINHAO   BASCULANTE</v>
          </cell>
          <cell r="E23" t="str">
            <v>M3</v>
          </cell>
          <cell r="F23">
            <v>7.95</v>
          </cell>
          <cell r="G23">
            <v>188.24</v>
          </cell>
          <cell r="H23">
            <v>235.3</v>
          </cell>
          <cell r="I23">
            <v>1870.64</v>
          </cell>
          <cell r="J23">
            <v>0.25</v>
          </cell>
        </row>
        <row r="24">
          <cell r="A24" t="str">
            <v>2.1.1.1.2</v>
          </cell>
          <cell r="B24">
            <v>85371</v>
          </cell>
          <cell r="C24" t="str">
            <v>SINAPI SERVIÇO</v>
          </cell>
          <cell r="D24" t="str">
            <v>REMOCAO DE PISO EM CARPETE</v>
          </cell>
          <cell r="E24" t="str">
            <v>M2</v>
          </cell>
          <cell r="F24">
            <v>70.680000000000007</v>
          </cell>
          <cell r="G24">
            <v>2.25</v>
          </cell>
          <cell r="H24">
            <v>2.81</v>
          </cell>
          <cell r="I24">
            <v>198.61</v>
          </cell>
          <cell r="J24">
            <v>0.25</v>
          </cell>
        </row>
        <row r="25">
          <cell r="A25" t="str">
            <v>2.1.1.3.3</v>
          </cell>
          <cell r="B25">
            <v>85372</v>
          </cell>
          <cell r="C25" t="str">
            <v>SINAPI SERVIÇO</v>
          </cell>
          <cell r="D25" t="str">
            <v>DEMOLICAO DE FORRO DE GESSO</v>
          </cell>
          <cell r="E25" t="str">
            <v>M2</v>
          </cell>
          <cell r="F25">
            <v>129.51</v>
          </cell>
          <cell r="G25">
            <v>1.83</v>
          </cell>
          <cell r="H25">
            <v>2.29</v>
          </cell>
          <cell r="I25">
            <v>296.58</v>
          </cell>
          <cell r="J25">
            <v>0.25</v>
          </cell>
        </row>
        <row r="26">
          <cell r="A26" t="str">
            <v>2.1.1.1.3</v>
          </cell>
          <cell r="B26">
            <v>85376</v>
          </cell>
          <cell r="C26" t="str">
            <v>SINAPI SERVIÇO</v>
          </cell>
          <cell r="D26" t="str">
            <v>DEMOLICAO DE PISO VINILICO</v>
          </cell>
          <cell r="E26" t="str">
            <v>M2</v>
          </cell>
          <cell r="F26">
            <v>35.32</v>
          </cell>
          <cell r="G26">
            <v>4.12</v>
          </cell>
          <cell r="H26">
            <v>5.15</v>
          </cell>
          <cell r="I26">
            <v>181.9</v>
          </cell>
          <cell r="J26">
            <v>0.25</v>
          </cell>
        </row>
        <row r="27">
          <cell r="A27" t="str">
            <v>2.1.1.9.4</v>
          </cell>
          <cell r="B27">
            <v>85407</v>
          </cell>
          <cell r="C27" t="str">
            <v>SINAPI SERVIÇO</v>
          </cell>
          <cell r="D27" t="str">
            <v>REMOCAO DE FIACAO ELETRICA</v>
          </cell>
          <cell r="E27" t="str">
            <v>M</v>
          </cell>
          <cell r="F27">
            <v>87.74</v>
          </cell>
          <cell r="G27">
            <v>7</v>
          </cell>
          <cell r="H27">
            <v>8.75</v>
          </cell>
          <cell r="I27">
            <v>767.73</v>
          </cell>
          <cell r="J27">
            <v>0.25</v>
          </cell>
        </row>
        <row r="28">
          <cell r="A28" t="str">
            <v>2.1.3.5.9</v>
          </cell>
          <cell r="B28">
            <v>86882</v>
          </cell>
          <cell r="C28" t="str">
            <v>SINAPI SERVIÇO</v>
          </cell>
          <cell r="D28" t="str">
            <v>SIFÃO DO TIPO GARRAFA EM PVC 1.1/4" - FORNECIMENTO E INSTALAÇÃO. AF_12   /2013</v>
          </cell>
          <cell r="E28" t="str">
            <v>UN</v>
          </cell>
          <cell r="F28">
            <v>1</v>
          </cell>
          <cell r="G28">
            <v>12.41</v>
          </cell>
          <cell r="H28">
            <v>15.51</v>
          </cell>
          <cell r="I28">
            <v>15.51</v>
          </cell>
          <cell r="J28">
            <v>0.25</v>
          </cell>
        </row>
        <row r="29">
          <cell r="A29" t="str">
            <v>2.1.3.2.1.1</v>
          </cell>
          <cell r="B29">
            <v>87507</v>
          </cell>
          <cell r="C29" t="str">
            <v>SINAPI SERVIÇO</v>
          </cell>
          <cell r="D29" t="str">
            <v>ALVENARIA DE VEDAÇÃO DE BLOCOS CERÂMICOS FURADOS NA HORIZONTAL DE 9X14   X19CM (ESPESSURA 9CM) DE PAREDES COM ÁREA LÍQUIDA MAIOR OU IGUAL A 6M²SEM VÃOS E ARGAMASSA DE ASSENTAMENTO COM PREPARO EM BETONEIRA. AF_06/2014</v>
          </cell>
          <cell r="E29" t="str">
            <v>M2</v>
          </cell>
          <cell r="F29">
            <v>139.15</v>
          </cell>
          <cell r="G29">
            <v>66.87</v>
          </cell>
          <cell r="H29">
            <v>83.59</v>
          </cell>
          <cell r="I29">
            <v>11631.55</v>
          </cell>
          <cell r="J29">
            <v>0.25</v>
          </cell>
        </row>
        <row r="30">
          <cell r="A30" t="str">
            <v>2.1.3.2.2.1</v>
          </cell>
          <cell r="B30">
            <v>87893</v>
          </cell>
          <cell r="C30" t="str">
            <v>SINAPI SERVIÇO</v>
          </cell>
          <cell r="D30" t="str">
            <v>CHAPISCO APLICADO TANTO EM PILARES E VIGAS DE CONCRETO COMO EM ALVENAR   IA DE FACHADA SEM PRESENÇA DE VÃOS, COM COLHER DE PEDREIRO. ARGAMASSATRAÇO 1:3 COM PREPARO MANUAL. AF_06/2014</v>
          </cell>
          <cell r="E30" t="str">
            <v>M2</v>
          </cell>
          <cell r="F30">
            <v>278.3</v>
          </cell>
          <cell r="G30">
            <v>4.3099999999999996</v>
          </cell>
          <cell r="H30">
            <v>5.39</v>
          </cell>
          <cell r="I30">
            <v>1500.04</v>
          </cell>
          <cell r="J30">
            <v>0.25</v>
          </cell>
        </row>
        <row r="31">
          <cell r="A31" t="str">
            <v>2.1.3.2.3.1</v>
          </cell>
          <cell r="B31">
            <v>90406</v>
          </cell>
          <cell r="C31" t="str">
            <v>SINAPI SERVIÇO</v>
          </cell>
          <cell r="D31" t="str">
            <v>MASSA ÚNICA, PARA RECEBIMENTO DE PINTURA, EM ARGAMASSA TRAÇO 1:2:8, PR   EPARO MECÂNICO COM BETONEIRA 400L, APLICADA MANUALMENTE EM TETO, ESPESSURA DE 20MM, COM EXECUÇÃO DE TALISCAS. AF_03/2015</v>
          </cell>
          <cell r="E31" t="str">
            <v>M2</v>
          </cell>
          <cell r="F31">
            <v>278.3</v>
          </cell>
          <cell r="G31">
            <v>29.6</v>
          </cell>
          <cell r="H31">
            <v>37</v>
          </cell>
          <cell r="I31">
            <v>10297.1</v>
          </cell>
          <cell r="J31">
            <v>0.25</v>
          </cell>
        </row>
        <row r="32">
          <cell r="A32" t="str">
            <v>2.2.2.1</v>
          </cell>
          <cell r="B32" t="str">
            <v>12983/001</v>
          </cell>
          <cell r="C32" t="str">
            <v>SINAPI EMLURB</v>
          </cell>
          <cell r="D32" t="str">
            <v>TOMBAMENTO MECANICO DE ARVORES COM DIAMETRO DE 0,15 A 0,30 M, INCLUSI-   VE O DESTOCAMENTO E LIMPEZA DO LOCAL</v>
          </cell>
          <cell r="E32" t="str">
            <v>UN</v>
          </cell>
          <cell r="F32">
            <v>4</v>
          </cell>
          <cell r="G32">
            <v>90.33</v>
          </cell>
          <cell r="H32">
            <v>112.91</v>
          </cell>
          <cell r="I32">
            <v>451.64</v>
          </cell>
          <cell r="J32">
            <v>0.25</v>
          </cell>
        </row>
        <row r="33">
          <cell r="A33" t="str">
            <v>2.2.2.2</v>
          </cell>
          <cell r="B33" t="str">
            <v>12983/002</v>
          </cell>
          <cell r="C33" t="str">
            <v>SINAPI EMLURB</v>
          </cell>
          <cell r="D33" t="str">
            <v>TOMBAMENTO MECANICO DE ARVORES COM DIAMETRO MAIOR QUE 0,30 M, INCLUSI-   VE O DESTOCAMENTO E LIMPEZA DO LOCAL</v>
          </cell>
          <cell r="E33" t="str">
            <v>UN</v>
          </cell>
          <cell r="F33">
            <v>6</v>
          </cell>
          <cell r="G33">
            <v>131.63999999999999</v>
          </cell>
          <cell r="H33">
            <v>164.55</v>
          </cell>
          <cell r="I33">
            <v>987.3</v>
          </cell>
          <cell r="J33">
            <v>0.25</v>
          </cell>
        </row>
        <row r="34">
          <cell r="A34" t="str">
            <v>2.1.1.1.4</v>
          </cell>
          <cell r="B34" t="str">
            <v>73801/001</v>
          </cell>
          <cell r="C34" t="str">
            <v>SINAPI SERVIÇO</v>
          </cell>
          <cell r="D34" t="str">
            <v>DEMOLICAO DE PISO DE ALTA RESISTENCIA</v>
          </cell>
          <cell r="E34" t="str">
            <v>M2</v>
          </cell>
          <cell r="F34">
            <v>162.59</v>
          </cell>
          <cell r="G34">
            <v>18.39</v>
          </cell>
          <cell r="H34">
            <v>22.99</v>
          </cell>
          <cell r="I34">
            <v>3737.94</v>
          </cell>
          <cell r="J34">
            <v>0.25</v>
          </cell>
        </row>
        <row r="35">
          <cell r="A35" t="str">
            <v>2.1.2.2.2</v>
          </cell>
          <cell r="B35" t="str">
            <v>73806/001</v>
          </cell>
          <cell r="C35" t="str">
            <v>SINAPI SERVIÇO</v>
          </cell>
          <cell r="D35" t="str">
            <v>LIMPEZA DE SUPERFICIES COM JATO DE ALTA PRESSAO DE AR E AGUA</v>
          </cell>
          <cell r="E35" t="str">
            <v>M2</v>
          </cell>
          <cell r="F35">
            <v>411.91</v>
          </cell>
          <cell r="G35">
            <v>1.26</v>
          </cell>
          <cell r="H35">
            <v>1.58</v>
          </cell>
          <cell r="I35">
            <v>650.82000000000005</v>
          </cell>
          <cell r="J35">
            <v>0.25</v>
          </cell>
        </row>
        <row r="36">
          <cell r="A36" t="str">
            <v>2.2.1.1</v>
          </cell>
          <cell r="B36" t="str">
            <v>73822/001</v>
          </cell>
          <cell r="C36" t="str">
            <v>SINAPI SERVIÇO</v>
          </cell>
          <cell r="D36" t="str">
            <v>CAPINA E LIMPEZA MANUAL DE TERRENO COM PEQUENOS ARBUSTOS</v>
          </cell>
          <cell r="E36" t="str">
            <v>M2</v>
          </cell>
          <cell r="F36">
            <v>993.1</v>
          </cell>
          <cell r="G36">
            <v>3.67</v>
          </cell>
          <cell r="H36">
            <v>4.59</v>
          </cell>
          <cell r="I36">
            <v>4558.33</v>
          </cell>
          <cell r="J36">
            <v>0.25</v>
          </cell>
        </row>
        <row r="37">
          <cell r="A37" t="str">
            <v>2.1.3.1.1.1</v>
          </cell>
          <cell r="B37" t="str">
            <v>73907/003</v>
          </cell>
          <cell r="C37" t="str">
            <v>SINAPI SERVIÇO</v>
          </cell>
          <cell r="D37" t="str">
            <v>CONTRAPISO/LASTRO DE CONCRETO NAO-ESTRUTURAL, E=5CM, PREPARO COM BETON   EIRA</v>
          </cell>
          <cell r="E37" t="str">
            <v>M2</v>
          </cell>
          <cell r="F37">
            <v>117.42</v>
          </cell>
          <cell r="G37">
            <v>25.81</v>
          </cell>
          <cell r="H37">
            <v>32.26</v>
          </cell>
          <cell r="I37">
            <v>3787.97</v>
          </cell>
          <cell r="J37">
            <v>0.25</v>
          </cell>
        </row>
        <row r="38">
          <cell r="A38" t="str">
            <v>2.1.3.3.2.3</v>
          </cell>
          <cell r="B38" t="str">
            <v>73938/001</v>
          </cell>
          <cell r="C38" t="str">
            <v>SINAPI SERVIÇO</v>
          </cell>
          <cell r="D38" t="str">
            <v>COBERTURA EM TELHA CERAMICA TIPO COLONIAL, COM ARGAMASSA TRACO 1:3 (CI   MENTO E AREIA)</v>
          </cell>
          <cell r="E38" t="str">
            <v>M2</v>
          </cell>
          <cell r="F38">
            <v>199.28</v>
          </cell>
          <cell r="G38">
            <v>69.8</v>
          </cell>
          <cell r="H38">
            <v>87.25</v>
          </cell>
          <cell r="I38">
            <v>17387.18</v>
          </cell>
          <cell r="J38">
            <v>0.25</v>
          </cell>
        </row>
        <row r="39">
          <cell r="A39" t="str">
            <v>2.1.3.7.4</v>
          </cell>
          <cell r="B39" t="str">
            <v>74125/002</v>
          </cell>
          <cell r="C39" t="str">
            <v>SINAPI SERVIÇO</v>
          </cell>
          <cell r="D39" t="str">
            <v>ESPELHO CRISTAL ESPESSURA 4MM, COM MOLDURA EM ALUMINIO E COMPENSADO 6M   M PLASTIFICADO COLADO</v>
          </cell>
          <cell r="E39" t="str">
            <v>M2</v>
          </cell>
          <cell r="F39">
            <v>5.08</v>
          </cell>
          <cell r="G39">
            <v>269.08</v>
          </cell>
          <cell r="H39">
            <v>336.35</v>
          </cell>
          <cell r="I39">
            <v>1708.66</v>
          </cell>
          <cell r="J39">
            <v>0.25</v>
          </cell>
        </row>
        <row r="40">
          <cell r="A40" t="str">
            <v>2.2.5.4</v>
          </cell>
          <cell r="B40" t="str">
            <v>74223/002</v>
          </cell>
          <cell r="C40" t="str">
            <v>SINAPI SERVIÇO</v>
          </cell>
          <cell r="D40" t="str">
            <v xml:space="preserve">MEIO-FIO EM PEDRA GRANITICA, REJUNTADO C/ARGAMASSA CIMENTO E AREIA 1:3   </v>
          </cell>
          <cell r="E40" t="str">
            <v>M</v>
          </cell>
          <cell r="F40">
            <v>42.92</v>
          </cell>
          <cell r="G40">
            <v>24.87</v>
          </cell>
          <cell r="H40">
            <v>31.09</v>
          </cell>
          <cell r="I40">
            <v>1334.38</v>
          </cell>
          <cell r="J40">
            <v>0.25</v>
          </cell>
        </row>
        <row r="41">
          <cell r="A41" t="str">
            <v>2.1.1.1.6</v>
          </cell>
          <cell r="B41" t="str">
            <v>9927/001</v>
          </cell>
          <cell r="C41" t="str">
            <v>SINAPI EMLURB</v>
          </cell>
          <cell r="D41" t="str">
            <v>DEMOLICAO DE PASSEIO EM PEDRA PORTUGUESA</v>
          </cell>
          <cell r="E41" t="str">
            <v>M2</v>
          </cell>
          <cell r="F41">
            <v>132.1</v>
          </cell>
          <cell r="G41">
            <v>4.5999999999999996</v>
          </cell>
          <cell r="H41">
            <v>5.75</v>
          </cell>
          <cell r="I41">
            <v>759.58</v>
          </cell>
          <cell r="J41">
            <v>0.25</v>
          </cell>
        </row>
        <row r="42">
          <cell r="A42" t="str">
            <v>2.2.5.1</v>
          </cell>
          <cell r="B42" t="str">
            <v>COMPS12003</v>
          </cell>
          <cell r="C42" t="str">
            <v>COMPOSIÇÃO</v>
          </cell>
          <cell r="D42" t="str">
            <v>PONTOS DE ÁGUA PARA MANGUEIRA DE 15M, INCLUSIVE TORNEIRA PARA JARDIM</v>
          </cell>
          <cell r="E42" t="str">
            <v>PTO</v>
          </cell>
          <cell r="F42">
            <v>3</v>
          </cell>
          <cell r="G42">
            <v>102.35</v>
          </cell>
          <cell r="H42">
            <v>127.94</v>
          </cell>
          <cell r="I42">
            <v>383.82</v>
          </cell>
          <cell r="J42">
            <v>0.25</v>
          </cell>
        </row>
        <row r="43">
          <cell r="A43" t="str">
            <v>2.2.5.2</v>
          </cell>
          <cell r="B43" t="str">
            <v>COMPS12004</v>
          </cell>
          <cell r="C43" t="str">
            <v>COMPOSIÇÃO</v>
          </cell>
          <cell r="D43" t="str">
            <v>EXECUÇÃO DE ALEGRETE EM CONCRETO H=20CM E ESPESSURA DE 12CM</v>
          </cell>
          <cell r="E43" t="str">
            <v>M</v>
          </cell>
          <cell r="F43">
            <v>1</v>
          </cell>
          <cell r="G43">
            <v>84.22999999999999</v>
          </cell>
          <cell r="H43">
            <v>105.29</v>
          </cell>
          <cell r="I43">
            <v>105.29</v>
          </cell>
          <cell r="J43">
            <v>0.25</v>
          </cell>
        </row>
        <row r="44">
          <cell r="A44" t="str">
            <v>2.2.3.1</v>
          </cell>
          <cell r="B44" t="str">
            <v>COMPS12006</v>
          </cell>
          <cell r="C44" t="str">
            <v>COMPOSIÇÃO</v>
          </cell>
          <cell r="D44" t="str">
            <v>FORNECIMENTO E COLOCAÇÃO DE PEDRA NATURAL TIPO QUARTZITO TROPICAL, PRÉ-MOLDADA EM TELA PLÁSTICA (PEDRAS 4/6 X 4/6CM), MODELO QUADRADO CLÁSSICO REGULAR, MODULOS DE 50X50X40CM, FABRICANTE PASINATO OU EQUIVALENTE TÉCNICO, APLICADA SOBRE LASTRO DE SAIBRO COMPACTADO E CONTRAPISO DE CONCRETO ARMADO COM TELA SOLDADA. ASSENTAMENTO DO PISO NO CONTRAPISO COM ARGAMASSA UMEDECIDA DE CIMENTO E AREIA MÉDIA NO TRAÇO 1:3; JUNTAS DE 1CM PREENCHIDAS COM ARGAMASSA FLUIDA DE CIMENTO E AREIA MÉDIA NO TRAÇO 1:2,5.</v>
          </cell>
          <cell r="E44" t="str">
            <v>M2</v>
          </cell>
          <cell r="F44">
            <v>630.70000000000005</v>
          </cell>
          <cell r="G44">
            <v>240.76999999999998</v>
          </cell>
          <cell r="H44">
            <v>300.95999999999998</v>
          </cell>
          <cell r="I44">
            <v>189815.47</v>
          </cell>
          <cell r="J44">
            <v>0.25</v>
          </cell>
        </row>
        <row r="45">
          <cell r="A45" t="str">
            <v>2.2.3.2</v>
          </cell>
          <cell r="B45" t="str">
            <v>COMPS12007</v>
          </cell>
          <cell r="C45" t="str">
            <v>COMPOSIÇÃO</v>
          </cell>
          <cell r="D45" t="str">
            <v>FORNECIMENTO E COLOCAÇÃO DE PEDRA NATURAL TIPO QUARTZITO TROPICAL, EM BLOCOS MEDINDO 20 X 20CM, FABRICANTE PASINATO OU EQUIVALENTE TÉCNICO, APLICADA SOBRE LASTRO DE SAIBRO COMPACTADO E CONTRAPISO DE CONCRETO ARMADO COM TELA SOLDADA. ASSENTAMENTO DO PISO NO CONTRAPISO COM ARGAMASSA UMEDECIDA DE CIMENTO E AREIA MÉDIA NO TRAÇO 1:3; JUNTAS DE 1CM PREENCHIDAS COM ARGAMASSA FLUIDA DE CIMENTO E AREIA MÉDIA NO TRAÇO 1:2,5.</v>
          </cell>
          <cell r="E45" t="str">
            <v>M2</v>
          </cell>
          <cell r="F45">
            <v>33.78</v>
          </cell>
          <cell r="G45">
            <v>235.11999999999995</v>
          </cell>
          <cell r="H45">
            <v>293.89999999999998</v>
          </cell>
          <cell r="I45">
            <v>9927.94</v>
          </cell>
          <cell r="J45">
            <v>0.25</v>
          </cell>
        </row>
        <row r="46">
          <cell r="A46" t="str">
            <v>2.2.2.3</v>
          </cell>
          <cell r="B46" t="str">
            <v>COMPS15001</v>
          </cell>
          <cell r="C46" t="str">
            <v>COMPOSIÇÃO</v>
          </cell>
          <cell r="D46" t="str">
            <v>FORNECIMENTO E PLANTIO DE MUDA DE HERBACEA LÍRIO-ARANHA (NOME CIENTIFICO: HYMENOCALLIS LITTORALIS (JACQ.)), ALTURA DA MUDA H=0,50M, INCLUSIVE ABERTURA E FECHAMENTO DE CAVA 60X60X60CM E ADUBAÇÃO - APROXIMADAMENTE 2 UND/M2, COM ESPAÇAMENTO DE 0,80M ENTRE AS MUDAS</v>
          </cell>
          <cell r="E46" t="str">
            <v>M2</v>
          </cell>
          <cell r="F46">
            <v>55.95</v>
          </cell>
          <cell r="G46">
            <v>27.870000000000005</v>
          </cell>
          <cell r="H46">
            <v>34.840000000000003</v>
          </cell>
          <cell r="I46">
            <v>1949.3</v>
          </cell>
          <cell r="J46">
            <v>0.25</v>
          </cell>
        </row>
        <row r="47">
          <cell r="A47" t="str">
            <v>2.2.2.4</v>
          </cell>
          <cell r="B47" t="str">
            <v>COMPS15002</v>
          </cell>
          <cell r="C47" t="str">
            <v>COMPOSIÇÃO</v>
          </cell>
          <cell r="D47" t="str">
            <v>FORNECIMENTO E PLANTIO DE MUDA DE HERBACEA MARANTA-VARIEGADA (NOME CIENTÍFICO: CTENANTHE OPPENHEIMIANA (E. MORREN) K. SCHUM.), ALTURA DA MUDA H=0,80M, INCLUSIVE ABERTURA E FECHAMENTO DE CAVA 60X60X60CM E ADUBAÇÃO - APROXIMADAMENTE 1 UND/M2, COM ESPAÇAMENTO DE 1,20M ENTRE AS MUDAS</v>
          </cell>
          <cell r="E47" t="str">
            <v>M2</v>
          </cell>
          <cell r="F47">
            <v>14.12</v>
          </cell>
          <cell r="G47">
            <v>21.709999999999997</v>
          </cell>
          <cell r="H47">
            <v>27.14</v>
          </cell>
          <cell r="I47">
            <v>383.22</v>
          </cell>
          <cell r="J47">
            <v>0.25</v>
          </cell>
        </row>
        <row r="48">
          <cell r="A48" t="str">
            <v>2.2.2.5</v>
          </cell>
          <cell r="B48" t="str">
            <v>COMPS15003</v>
          </cell>
          <cell r="C48" t="str">
            <v>COMPOSIÇÃO</v>
          </cell>
          <cell r="D48" t="str">
            <v>FORNECIMENTO E PLANTIO DE MUDA DE HERBACEA IMBÊ (NOME CIENTÍFICO: PHILODENDRON IMBÊ (SCHOTT EX ENDL.)), ALTURA DA MUDA H=1,00M, INCLUSIVE ABERTURA E FECHAMENTO DE CAVA 80X80X80CM E ADUBAÇÃO - APROXIMADAMENTE 1 UND/M2, COM ESPAÇAMENTO DE 2,50M ENTRE AS MUDAS</v>
          </cell>
          <cell r="E48" t="str">
            <v>M2</v>
          </cell>
          <cell r="F48">
            <v>37.71</v>
          </cell>
          <cell r="G48">
            <v>8.59</v>
          </cell>
          <cell r="H48">
            <v>10.74</v>
          </cell>
          <cell r="I48">
            <v>405.01</v>
          </cell>
          <cell r="J48">
            <v>0.25</v>
          </cell>
        </row>
        <row r="49">
          <cell r="A49" t="str">
            <v>2.2.2.6</v>
          </cell>
          <cell r="B49" t="str">
            <v>COMPS15004</v>
          </cell>
          <cell r="C49" t="str">
            <v>COMPOSIÇÃO</v>
          </cell>
          <cell r="D49" t="str">
            <v>FORNECIMENTO E PLANTIO DE MUDA DE HERBACEA MARANTA-ZEBRA (NOME CIENTÍFICO: CALATHEA ZEBRINA (SIMS) LINDL.), ALTURA DA MUDA H=1,00M, INCLUSIVE ABERTURA E FECHAMENTO DE CAVA 80X80X80CM E ADUBAÇÃO - APROXIMADAMENTE 1 UND/M2, COM ESPAÇAMENTO DE 1,50M ENTRE AS MUDAS</v>
          </cell>
          <cell r="E49" t="str">
            <v>M2</v>
          </cell>
          <cell r="F49">
            <v>10.88</v>
          </cell>
          <cell r="G49">
            <v>18.52</v>
          </cell>
          <cell r="H49">
            <v>23.15</v>
          </cell>
          <cell r="I49">
            <v>251.87</v>
          </cell>
          <cell r="J49">
            <v>0.25</v>
          </cell>
        </row>
        <row r="50">
          <cell r="A50" t="str">
            <v>2.2.2.7</v>
          </cell>
          <cell r="B50" t="str">
            <v>COMPS15005</v>
          </cell>
          <cell r="C50" t="str">
            <v>COMPOSIÇÃO</v>
          </cell>
          <cell r="D50" t="str">
            <v>FORNECIMENTO E PLANTIO DE MUDA DE HERBACEA ABACAXI-VERMELHO (NOME CIENTÍFICO: ANANAS BRACTEATUS (LINDL.) SCHULT. &amp; SCHULT. F.), ALTURA DA MUDA H=0,70M, INCLUSIVE ABERTURA E FECHAMENTO DE CAVA 60X60X60CM E ADUBAÇÃO - APROXIMADAMENTE 4 UND/M2, COM ESPAÇAMENTO DE 0,50M ENTRE AS MUDAS</v>
          </cell>
          <cell r="E50" t="str">
            <v>M2</v>
          </cell>
          <cell r="F50">
            <v>35.479999999999997</v>
          </cell>
          <cell r="G50">
            <v>81.260000000000005</v>
          </cell>
          <cell r="H50">
            <v>101.58</v>
          </cell>
          <cell r="I50">
            <v>3604.06</v>
          </cell>
          <cell r="J50">
            <v>0.25</v>
          </cell>
        </row>
        <row r="51">
          <cell r="A51" t="str">
            <v>2.2.2.8</v>
          </cell>
          <cell r="B51" t="str">
            <v>COMPS15006</v>
          </cell>
          <cell r="C51" t="str">
            <v>COMPOSIÇÃO</v>
          </cell>
          <cell r="D51" t="str">
            <v>FORNECIMENTO E PLANTIO DE MUDA DE HERBACEA TAIOBA (NOME CIENTÍFICO: XANTHOSOMA ROBUSTUM (SCHOTT)), ALTURA DA MUDA H=1,20M, INCLUSIVE ABERTURA E FECHAMENTO DE CAVA 80X80X80CM E ADUBAÇÃO - APROXIMADAMENTE 1 UND/M2, COM ESPAÇAMENTO DE 1,20M ENTRE AS MUDAS</v>
          </cell>
          <cell r="E51" t="str">
            <v>M2</v>
          </cell>
          <cell r="F51">
            <v>58.68</v>
          </cell>
          <cell r="G51">
            <v>37.770000000000003</v>
          </cell>
          <cell r="H51">
            <v>47.21</v>
          </cell>
          <cell r="I51">
            <v>2770.28</v>
          </cell>
          <cell r="J51">
            <v>0.25</v>
          </cell>
        </row>
        <row r="52">
          <cell r="A52" t="str">
            <v>2.2.2.9</v>
          </cell>
          <cell r="B52" t="str">
            <v>COMPS15007</v>
          </cell>
          <cell r="C52" t="str">
            <v>COMPOSIÇÃO</v>
          </cell>
          <cell r="D52" t="str">
            <v>FORNECIMENTO E PLANTIO DE FORRAÇÃO EM MUDA DICONDRA (NOME CIENTÍFICO: DICHONDRA MICROCALYX (HALLIER F.)), ALTURA DA MUDA H=0,15M, INCLUSIVE PREPARO DE SOLO</v>
          </cell>
          <cell r="E52" t="str">
            <v>M2</v>
          </cell>
          <cell r="F52">
            <v>132.30000000000001</v>
          </cell>
          <cell r="G52">
            <v>81.19</v>
          </cell>
          <cell r="H52">
            <v>101.49</v>
          </cell>
          <cell r="I52">
            <v>13427.13</v>
          </cell>
          <cell r="J52">
            <v>0.25</v>
          </cell>
        </row>
        <row r="53">
          <cell r="A53" t="str">
            <v>2.2.2.10</v>
          </cell>
          <cell r="B53" t="str">
            <v>COMPS15008</v>
          </cell>
          <cell r="C53" t="str">
            <v>COMPOSIÇÃO</v>
          </cell>
          <cell r="D53" t="str">
            <v>FORNECIMENTO E PLANTIO DE MUDA DE HERBACEA BRILHANTINA (NOME CIENTÍFICO: PILEA MICROPHYLLA (L.) LIEBM), ALTURA DA MUDA H=0,10M, INCLUSIVE PREPARO DE SOLO - APROXIMADAMENTE 2 UND/M2, COM ESPAÇAMENTO DE 0,70M ENTRE AS MUDAS</v>
          </cell>
          <cell r="E53" t="str">
            <v>M2</v>
          </cell>
          <cell r="F53">
            <v>22.14</v>
          </cell>
          <cell r="G53">
            <v>49.42</v>
          </cell>
          <cell r="H53">
            <v>61.78</v>
          </cell>
          <cell r="I53">
            <v>1367.81</v>
          </cell>
          <cell r="J53">
            <v>0.25</v>
          </cell>
        </row>
        <row r="54">
          <cell r="A54" t="str">
            <v>2.2.2.11</v>
          </cell>
          <cell r="B54" t="str">
            <v>COMPS15009</v>
          </cell>
          <cell r="C54" t="str">
            <v>COMPOSIÇÃO</v>
          </cell>
          <cell r="D54" t="str">
            <v>FORNECIMENTO E PLANTIO DE MUDA DE HERBACEA CAETE VERMELHO (NOME CIENTÍFICO: HELICONIA PENDULA WAWRA), ALTURA DA MUDA H=1,00M, INCLUSIVE ABERTURA E FECHAMENTO DE CAVA 80X80X80CM E ADUBAÇÃO - APROXIMADAMENTE 6 UND/M2, COM ESPAÇAMENTO DE 0,40M ENTRE AS MUDAS</v>
          </cell>
          <cell r="E54" t="str">
            <v>M2</v>
          </cell>
          <cell r="F54">
            <v>19.100000000000001</v>
          </cell>
          <cell r="G54">
            <v>212.4</v>
          </cell>
          <cell r="H54">
            <v>265.5</v>
          </cell>
          <cell r="I54">
            <v>5071.05</v>
          </cell>
          <cell r="J54">
            <v>0.25</v>
          </cell>
        </row>
        <row r="55">
          <cell r="A55" t="str">
            <v>2.2.2.12</v>
          </cell>
          <cell r="B55" t="str">
            <v>COMPS15010</v>
          </cell>
          <cell r="C55" t="str">
            <v>COMPOSIÇÃO</v>
          </cell>
          <cell r="D55" t="str">
            <v>FORNECIMENTO E PLANTIO DE MUDA DE HERBACEA CIPÓ-DE-SÃO-JOÃO (NOME CIENTÍFICO: PYROSTEGIA VENUSTA (KER GAWL.)), ALTURA DA MUDA H=1,00M, INCLUSIVE ABERTURA E FECHAMENTO DE CAVA E ADUBAÇÃO - 1 UND/M, COM ESPAÇAMENTO DE 1,00M ENTRE AS MUDAS</v>
          </cell>
          <cell r="E55" t="str">
            <v>M</v>
          </cell>
          <cell r="F55">
            <v>7.6</v>
          </cell>
          <cell r="G55">
            <v>11.790000000000001</v>
          </cell>
          <cell r="H55">
            <v>14.74</v>
          </cell>
          <cell r="I55">
            <v>112.02</v>
          </cell>
          <cell r="J55">
            <v>0.25</v>
          </cell>
        </row>
        <row r="56">
          <cell r="A56" t="str">
            <v>2.2.5.3</v>
          </cell>
          <cell r="B56" t="str">
            <v>COMPS15011</v>
          </cell>
          <cell r="C56" t="str">
            <v>COMPOSIÇÃO</v>
          </cell>
          <cell r="D56" t="str">
            <v>FORNECIMENTO E COLOCAÇÃO DE SEPARADOR DE CANTEIRO FLEXÍVEL EM PVC, H=12CM, COM BORDA PASSANTE NA COR VERDE</v>
          </cell>
          <cell r="E56" t="str">
            <v>M</v>
          </cell>
          <cell r="F56">
            <v>66.97</v>
          </cell>
          <cell r="G56">
            <v>10.64</v>
          </cell>
          <cell r="H56">
            <v>13.3</v>
          </cell>
          <cell r="I56">
            <v>890.7</v>
          </cell>
          <cell r="J56">
            <v>0.25</v>
          </cell>
        </row>
        <row r="57">
          <cell r="A57" t="str">
            <v>2.2.5.5</v>
          </cell>
          <cell r="B57" t="str">
            <v>COMPS15012</v>
          </cell>
          <cell r="C57" t="str">
            <v>COMPOSIÇÃO</v>
          </cell>
          <cell r="D57" t="str">
            <v>FORNECIMENTO E COLOCAÇÃO DE ARGILA EXPANDIDA COM GRANULOMETRIA DE 22/32MM, REF. 3222, FABRICANTE CINEXPAN OU EQUIVALENTE TECNICO - ESPESSURA DA CAMADA 7CM</v>
          </cell>
          <cell r="E57" t="str">
            <v>M3</v>
          </cell>
          <cell r="F57">
            <v>6.17</v>
          </cell>
          <cell r="G57">
            <v>1170.1400000000001</v>
          </cell>
          <cell r="H57">
            <v>1462.68</v>
          </cell>
          <cell r="I57">
            <v>9024.74</v>
          </cell>
          <cell r="J57">
            <v>0.25</v>
          </cell>
        </row>
        <row r="58">
          <cell r="A58" t="str">
            <v>2.2.5.7</v>
          </cell>
          <cell r="B58" t="str">
            <v>COMPS15013</v>
          </cell>
          <cell r="C58" t="str">
            <v>COMPOSIÇÃO</v>
          </cell>
          <cell r="D58" t="str">
            <v>PREPARO DE SOLO PARA JARDIM COM MISTURA DE 1/3 DE HÚMUS DE MINHOCA, 1/3 DE TERRA VEGETAL E 1/3 DE ARGILA, ESPESSURA DA CAMADA 5CM</v>
          </cell>
          <cell r="E58" t="str">
            <v>M2</v>
          </cell>
          <cell r="F58">
            <v>366.97</v>
          </cell>
          <cell r="G58">
            <v>10.27</v>
          </cell>
          <cell r="H58">
            <v>12.84</v>
          </cell>
          <cell r="I58">
            <v>4711.8900000000003</v>
          </cell>
          <cell r="J58">
            <v>0.25</v>
          </cell>
        </row>
        <row r="59">
          <cell r="A59" t="str">
            <v>2.1.3.4.1</v>
          </cell>
          <cell r="B59" t="str">
            <v>COMPS27001</v>
          </cell>
          <cell r="C59" t="str">
            <v>COMPOSIÇÃO</v>
          </cell>
          <cell r="D59" t="str">
            <v>FORNECIMENTO E INSTALAÇÃO DE BACIA SANITÁRIA COM CAIXA ACOPLADA, LINHA RAVENA REF.: P.909, NA COR BRANCA, ACIONAMENTO DUAL FLUX, DECA OU EQUIVALENTE TÉCNICO, COM ASSENTO POLIÉSTER COD.: AP.01 NA COR BRANCA, DECA OU EQUIVALENTE TÉCNICO. COM ENGATE FLEXÍVEL EM PLÁSTICO BRANCO 1/2" x 30cm, E ACESSÓRIOS ESPECÍFICOS PARA A INSTALAÇÃO DESTA BACIA.</v>
          </cell>
          <cell r="E59" t="str">
            <v>UND</v>
          </cell>
          <cell r="F59">
            <v>6</v>
          </cell>
          <cell r="G59">
            <v>507.53</v>
          </cell>
          <cell r="H59">
            <v>634.41</v>
          </cell>
          <cell r="I59">
            <v>3806.46</v>
          </cell>
          <cell r="J59">
            <v>0.25</v>
          </cell>
        </row>
        <row r="60">
          <cell r="A60" t="str">
            <v>2.1.3.4.2</v>
          </cell>
          <cell r="B60" t="str">
            <v>COMPS27002</v>
          </cell>
          <cell r="C60" t="str">
            <v>COMPOSIÇÃO</v>
          </cell>
          <cell r="D60" t="str">
            <v>FORNECIMENTO E INSTALAÇÃO DE BACIA SANITÁRIA CONVENCIONAL, LINHA IZY, SEM ABERTURA FRONTAL, REF.: P.11, DECA OU EQUIVALENTE TÉCNICO, COM ASSENTO POLIÉSTER COD.: AP.01 NA COR BRANCA, DECA OU EQUIVALENTE TÉCNICO. COM ENGATE FLEXÍVEL EM PLÁSTICO BRANCO 1/2" x 30cm, E ACESSÓRIOS ESPECÍFICOS PARA A INSTALAÇÃO DESTA BACIA.</v>
          </cell>
          <cell r="E60" t="str">
            <v>UND</v>
          </cell>
          <cell r="F60">
            <v>1</v>
          </cell>
          <cell r="G60">
            <v>250.14000000000004</v>
          </cell>
          <cell r="H60">
            <v>312.68</v>
          </cell>
          <cell r="I60">
            <v>312.68</v>
          </cell>
          <cell r="J60">
            <v>0.25</v>
          </cell>
        </row>
        <row r="61">
          <cell r="A61" t="str">
            <v>2.1.3.4.5</v>
          </cell>
          <cell r="B61" t="str">
            <v>COMPS27004</v>
          </cell>
          <cell r="C61" t="str">
            <v>COMPOSIÇÃO</v>
          </cell>
          <cell r="D61" t="str">
            <v>FORNECIMENTO E INSTALAÇÃO DE LAVATÓRIO SUSPENSO DE CANTO EM LOUÇA BRANCA, CÓD.: 04014 CELITE OU EQUIVALENTE TÉCNICO, INCLUSIVE VÁLVULA DE ESCOAMENTO SIMPLES COM ACABAMENTO CROMADO E ENGATE FLEXIVEL 40CM.</v>
          </cell>
          <cell r="E61" t="str">
            <v>UND</v>
          </cell>
          <cell r="F61">
            <v>1</v>
          </cell>
          <cell r="G61">
            <v>158.86000000000001</v>
          </cell>
          <cell r="H61">
            <v>198.58</v>
          </cell>
          <cell r="I61">
            <v>198.58</v>
          </cell>
          <cell r="J61">
            <v>0.25</v>
          </cell>
        </row>
        <row r="62">
          <cell r="A62" t="str">
            <v>2.1.3.5.1</v>
          </cell>
          <cell r="B62" t="str">
            <v>COMPS27005</v>
          </cell>
          <cell r="C62" t="str">
            <v>COMPOSIÇÃO</v>
          </cell>
          <cell r="D62" t="str">
            <v>FORNECIMENTO E INSTALAÇÃO DE TANQUE DE ENCAIXE EM AÇO INOX, REF.: 94400107, ACABAMENTO ACETINADO, TRAMONTINA OU EQUIVALENTE TÉCNICO, INCLUSIVE VALVULA DE ESCOAMENTO  E ENGATE FLEXIVEL 40CM.</v>
          </cell>
          <cell r="E62" t="str">
            <v>UND</v>
          </cell>
          <cell r="F62">
            <v>1</v>
          </cell>
          <cell r="G62">
            <v>357.18</v>
          </cell>
          <cell r="H62">
            <v>446.48</v>
          </cell>
          <cell r="I62">
            <v>446.48</v>
          </cell>
          <cell r="J62">
            <v>0.25</v>
          </cell>
        </row>
        <row r="63">
          <cell r="A63" t="str">
            <v>2.1.3.5.2</v>
          </cell>
          <cell r="B63" t="str">
            <v>COMPS27007</v>
          </cell>
          <cell r="C63" t="str">
            <v>COMPOSIÇÃO</v>
          </cell>
          <cell r="D63" t="str">
            <v>FORNECIMENTO E INSTALAÇÃO DE CUBA PARA COZINHA EM AÇO INOX (40X34X14)CM, LINHA STANDARD, RETANGULAR BL, REF.:94081507, ACABAMENTO POLIDO, TRAMONTINA OU EQUIVALENTE TÉCNICO, INCLUSIVE VALVULA DE ESCOAMENTO  E ENGATE FLEXIVEL 40CM.</v>
          </cell>
          <cell r="E63" t="str">
            <v>UND</v>
          </cell>
          <cell r="F63">
            <v>2</v>
          </cell>
          <cell r="G63">
            <v>227.89</v>
          </cell>
          <cell r="H63">
            <v>284.86</v>
          </cell>
          <cell r="I63">
            <v>569.72</v>
          </cell>
          <cell r="J63">
            <v>0.25</v>
          </cell>
        </row>
        <row r="64">
          <cell r="A64" t="str">
            <v>2.1.3.5.4</v>
          </cell>
          <cell r="B64" t="str">
            <v>COMPS27009</v>
          </cell>
          <cell r="C64" t="str">
            <v>COMPOSIÇÃO</v>
          </cell>
          <cell r="D64" t="str">
            <v>FORNECIMENTO E INSTALAÇÃO DE TORNEIRA DE MESA PARA LAVATÓRIO, BICA BAIXA E FECHAMENTO AUTOMÁTICO, COM ACABAMENTO CROMADO, COD.: B501800CR2, CELITE OU EQUIVALENTE TÉCNICO.</v>
          </cell>
          <cell r="E64" t="str">
            <v>UND</v>
          </cell>
          <cell r="F64">
            <v>6</v>
          </cell>
          <cell r="G64">
            <v>157.50000000000003</v>
          </cell>
          <cell r="H64">
            <v>196.88</v>
          </cell>
          <cell r="I64">
            <v>1181.28</v>
          </cell>
          <cell r="J64">
            <v>0.25</v>
          </cell>
        </row>
        <row r="65">
          <cell r="A65" t="str">
            <v>2.1.3.5.7</v>
          </cell>
          <cell r="B65" t="str">
            <v>COMPS27013</v>
          </cell>
          <cell r="C65" t="str">
            <v>COMPOSIÇÃO</v>
          </cell>
          <cell r="D65" t="str">
            <v>FORNECIMENTO E INSTALAÇÃO DE SIFÃO PARA COZINHA 1.1/2"X1.1/2", ADAPTADOR PARA 2" E TUBO DE 300MM, CÓD.: B5817C5CRB, CELITE OU EQUIVALENTE TÉCNICO.</v>
          </cell>
          <cell r="E65" t="str">
            <v>UND</v>
          </cell>
          <cell r="F65">
            <v>2</v>
          </cell>
          <cell r="G65">
            <v>102.75</v>
          </cell>
          <cell r="H65">
            <v>128.44</v>
          </cell>
          <cell r="I65">
            <v>256.88</v>
          </cell>
          <cell r="J65">
            <v>0.25</v>
          </cell>
        </row>
        <row r="66">
          <cell r="A66" t="str">
            <v>2.1.3.5.10</v>
          </cell>
          <cell r="B66" t="str">
            <v>COMPS27014</v>
          </cell>
          <cell r="C66" t="str">
            <v>COMPOSIÇÃO</v>
          </cell>
          <cell r="D66" t="str">
            <v>FORNECIMENTO E INSTALAÇÃO DE SIFÃO ARTICULADO PARA LAVATÓRIO, COD.:1682.C.100.112, ACABAMENTO CROMADO, DECA OU EQUIVALENTE TÉCNICO.</v>
          </cell>
          <cell r="E66" t="str">
            <v>UND</v>
          </cell>
          <cell r="F66">
            <v>1</v>
          </cell>
          <cell r="G66">
            <v>147.57</v>
          </cell>
          <cell r="H66">
            <v>184.46</v>
          </cell>
          <cell r="I66">
            <v>184.46</v>
          </cell>
          <cell r="J66">
            <v>0.25</v>
          </cell>
        </row>
        <row r="67">
          <cell r="A67" t="str">
            <v>2.1.3.5.11</v>
          </cell>
          <cell r="B67" t="str">
            <v>COMPS27015</v>
          </cell>
          <cell r="C67" t="str">
            <v>COMPOSIÇÃO</v>
          </cell>
          <cell r="D67" t="str">
            <v>FORNECIMENTO E INSTALAÇÃO DE CAIXA DE DESCARGA DE EMBUTIR, M9000A, COM TUBO DE ESGOTO DE 50MM E ESPELHO DE ACIONAMENTO TIPO MONTREAL EM AÇO INOX COM ACABAMENTO POLIDO, MONTANA OU EQUIVALENTE TÉCNICO.</v>
          </cell>
          <cell r="E67" t="str">
            <v>UND</v>
          </cell>
          <cell r="F67">
            <v>1</v>
          </cell>
          <cell r="G67">
            <v>512.1</v>
          </cell>
          <cell r="H67">
            <v>640.13</v>
          </cell>
          <cell r="I67">
            <v>640.13</v>
          </cell>
          <cell r="J67">
            <v>0.25</v>
          </cell>
        </row>
        <row r="68">
          <cell r="A68" t="str">
            <v>2.1.3.4.3</v>
          </cell>
          <cell r="B68" t="str">
            <v>COMPS27022</v>
          </cell>
          <cell r="C68" t="str">
            <v>COMPOSIÇÃO</v>
          </cell>
          <cell r="D68" t="str">
            <v>FORNECIMENTO E INSTALAÇÃO DE CUBA DE EMBUTIR REDONDA CÓD.: 10129, EM LOUÇA BRANCA, CELITE OU EQUIVALENTE TÉCNICO. VÁLVULA DE ESCOAMENTO SIMPLES COM ACABAMENTO CROMADO.</v>
          </cell>
          <cell r="E68" t="str">
            <v>UND</v>
          </cell>
          <cell r="F68">
            <v>4</v>
          </cell>
          <cell r="G68">
            <v>95.71</v>
          </cell>
          <cell r="H68">
            <v>119.64</v>
          </cell>
          <cell r="I68">
            <v>478.56</v>
          </cell>
          <cell r="J68">
            <v>0.25</v>
          </cell>
        </row>
        <row r="69">
          <cell r="A69" t="str">
            <v>2.1.3.4.4</v>
          </cell>
          <cell r="B69" t="str">
            <v>COMPS27023</v>
          </cell>
          <cell r="C69" t="str">
            <v>COMPOSIÇÃO</v>
          </cell>
          <cell r="D69" t="str">
            <v>FORNECIMENTO E INSTALAÇÃO DE LAVATÓRIO DE SEMI-ENCAIXE CÓD.: L.82, NA COR BRANCA DECA OU EQUIVALENTE TÉCNICO. VÁLVULA DE ESCOAMENTO SIMPLES COM ACABAMENTO CROMADO.</v>
          </cell>
          <cell r="E69" t="str">
            <v>UND</v>
          </cell>
          <cell r="F69">
            <v>2</v>
          </cell>
          <cell r="G69">
            <v>318.34999999999997</v>
          </cell>
          <cell r="H69">
            <v>397.94</v>
          </cell>
          <cell r="I69">
            <v>795.88</v>
          </cell>
          <cell r="J69">
            <v>0.25</v>
          </cell>
        </row>
        <row r="70">
          <cell r="A70" t="str">
            <v>2.1.3.5.3</v>
          </cell>
          <cell r="B70" t="str">
            <v>COMPS27024</v>
          </cell>
          <cell r="C70" t="str">
            <v>COMPOSIÇÃO</v>
          </cell>
          <cell r="D70" t="str">
            <v>FORNECIMENTO E INSTALAÇÃO DE TORNEIRA PARA COZINHA DE MESA BICA MÓVEL, CÓD.:B5001C9CR3, ACABAMENTO CROMADO, CELITE OU EQUIVALENTE TÉCNICO.</v>
          </cell>
          <cell r="E70" t="str">
            <v>UND</v>
          </cell>
          <cell r="F70">
            <v>2</v>
          </cell>
          <cell r="G70">
            <v>78.859999999999985</v>
          </cell>
          <cell r="H70">
            <v>98.58</v>
          </cell>
          <cell r="I70">
            <v>197.16</v>
          </cell>
          <cell r="J70">
            <v>0.25</v>
          </cell>
        </row>
        <row r="71">
          <cell r="A71" t="str">
            <v>2.1.3.5.5</v>
          </cell>
          <cell r="B71" t="str">
            <v>COMPS27025</v>
          </cell>
          <cell r="C71" t="str">
            <v>COMPOSIÇÃO</v>
          </cell>
          <cell r="D71" t="str">
            <v>FORNECIMENTO E INSTALAÇÃO DE TORNEIRA LAVATÓRIO MESA DE ALAVANCA, BICA BAIXA, LINHA LOGGICA CÓD.: 00274006, DOCOL OU EQUIVALENTE TÉCNICO.</v>
          </cell>
          <cell r="E71" t="str">
            <v>UND</v>
          </cell>
          <cell r="F71">
            <v>1</v>
          </cell>
          <cell r="G71">
            <v>177.12</v>
          </cell>
          <cell r="H71">
            <v>221.4</v>
          </cell>
          <cell r="I71">
            <v>221.4</v>
          </cell>
          <cell r="J71">
            <v>0.25</v>
          </cell>
        </row>
        <row r="72">
          <cell r="A72" t="str">
            <v>2.1.3.5.6</v>
          </cell>
          <cell r="B72" t="str">
            <v>COMPS27026</v>
          </cell>
          <cell r="C72" t="str">
            <v>COMPOSIÇÃO</v>
          </cell>
          <cell r="D72" t="str">
            <v>FORNECIMENTO E INSTALAÇÃO DE TORNEIRA LAVATÓRIO DE MESA, OPÇÃO PARA TANQUE, LINHA TRIO, CÓD.: 00534706, DOCOL OU EQUIVALENTE TÉCNICO.</v>
          </cell>
          <cell r="E72" t="str">
            <v>UND</v>
          </cell>
          <cell r="F72">
            <v>1</v>
          </cell>
          <cell r="G72">
            <v>72.61</v>
          </cell>
          <cell r="H72">
            <v>90.76</v>
          </cell>
          <cell r="I72">
            <v>90.76</v>
          </cell>
          <cell r="J72">
            <v>0.25</v>
          </cell>
        </row>
        <row r="73">
          <cell r="A73" t="str">
            <v>2.1.3.5.8</v>
          </cell>
          <cell r="B73" t="str">
            <v>COMPS27027</v>
          </cell>
          <cell r="C73" t="str">
            <v>COMPOSIÇÃO</v>
          </cell>
          <cell r="D73" t="str">
            <v>FORNECIMENTO E INSTALAÇÃO DE SIFÃO PARA LAVATÓRIO 1"X1.1/2", COM TUBO DE 300MM, CÓD.: B5816C5CRB, CELITE OU EQUIVALENTE TÉCNICO.</v>
          </cell>
          <cell r="E73" t="str">
            <v>UND</v>
          </cell>
          <cell r="F73">
            <v>6</v>
          </cell>
          <cell r="G73">
            <v>84.28</v>
          </cell>
          <cell r="H73">
            <v>105.35</v>
          </cell>
          <cell r="I73">
            <v>632.1</v>
          </cell>
          <cell r="J73">
            <v>0.25</v>
          </cell>
        </row>
        <row r="74">
          <cell r="A74" t="str">
            <v>2.1.3.5.12</v>
          </cell>
          <cell r="B74" t="str">
            <v>COMPS27028</v>
          </cell>
          <cell r="C74" t="str">
            <v>COMPOSIÇÃO</v>
          </cell>
          <cell r="D74" t="str">
            <v>FORNECIMENTO E INSTALAÇÃO DE DUCHA HIGIÊNICA COM REGISTRO E COM GATILHO, PERTUTTI, CÓD.: 00455706, DOCOL OU EQUIVALENTE TÉCNICO.</v>
          </cell>
          <cell r="E74" t="str">
            <v>UND</v>
          </cell>
          <cell r="F74">
            <v>7</v>
          </cell>
          <cell r="G74">
            <v>119.57</v>
          </cell>
          <cell r="H74">
            <v>149.46</v>
          </cell>
          <cell r="I74">
            <v>1046.22</v>
          </cell>
          <cell r="J74">
            <v>0.25</v>
          </cell>
        </row>
        <row r="75">
          <cell r="A75" t="str">
            <v>2.1.3.1.2.1</v>
          </cell>
          <cell r="B75" t="str">
            <v>COMPS3001</v>
          </cell>
          <cell r="C75" t="str">
            <v>COMPOSIÇÃO</v>
          </cell>
          <cell r="D75" t="str">
            <v>FORNECIMENTO E APLICAÇÃO DE PISO EM PORCELANATO NATURAL, 60X60CM, LINHA ECOSTONE NA, COR BRANCO, ELIANE OU EQUIVALENTE TÉCNICO, ASSENTADO COM ARGAMASSA PARA PORCELANATO INTERNO QUARTZOLIT OU EQUIVALENTE TÉCNICO, COM REJUNTAMENTO PARA PORCELANATO INTERNO, 2MM, NA COR BRANCO, QUARTZOLIT OU EQUIVALENTE TÉCNICO.</v>
          </cell>
          <cell r="E75" t="str">
            <v>M2</v>
          </cell>
          <cell r="F75">
            <v>94.3</v>
          </cell>
          <cell r="G75">
            <v>123.53</v>
          </cell>
          <cell r="H75">
            <v>154.41</v>
          </cell>
          <cell r="I75">
            <v>14560.86</v>
          </cell>
          <cell r="J75">
            <v>0.25</v>
          </cell>
        </row>
        <row r="76">
          <cell r="A76" t="str">
            <v>2.1.3.2.4.7</v>
          </cell>
          <cell r="B76" t="str">
            <v>COMPS3002</v>
          </cell>
          <cell r="C76" t="str">
            <v>COMPOSIÇÃO</v>
          </cell>
          <cell r="D76" t="str">
            <v>FORNECIMENTO E APLICAÇÃO DE REVESTIMENTO EM CERÂMICA LINHA SOFT TEXTIL BRANCO AC, 30X40CM, ELIANE OU EQUIVALENTE TÉCNICO, ASSENTADO COM ARGAMASSA COLANTE DE USO INTERNO AC I E REJUNTE FLEXÍVEL COR PLATINA E=2MM, SOLOSSANTINI OU EQUIVALENTE TÉCNICO.</v>
          </cell>
          <cell r="E76" t="str">
            <v>M2</v>
          </cell>
          <cell r="F76">
            <v>146.55000000000001</v>
          </cell>
          <cell r="G76">
            <v>32.790000000000006</v>
          </cell>
          <cell r="H76">
            <v>40.99</v>
          </cell>
          <cell r="I76">
            <v>6007.08</v>
          </cell>
          <cell r="J76">
            <v>0.25</v>
          </cell>
        </row>
        <row r="77">
          <cell r="A77" t="str">
            <v>2.1.3.2.4.1</v>
          </cell>
          <cell r="B77" t="str">
            <v>COMPS3003</v>
          </cell>
          <cell r="C77" t="str">
            <v>COMPOSIÇÃO</v>
          </cell>
          <cell r="D77" t="str">
            <v>FORNECIMENTO E APLICAÇÃO DE REVESTIMENTO CIMENTICIO LINHA CRAFT, REF. CR500 NA COR TRAVERTINO, DIMENSÕES 50X50CM, FABRICANTE SOLARIUM OU EQUVALENTE TECNICO, ASSENTADO COM ARGAMASSA INDUSTRIALIZADA E REJUNTE FLEXÍVEL</v>
          </cell>
          <cell r="E77" t="str">
            <v>M2</v>
          </cell>
          <cell r="F77">
            <v>63.88</v>
          </cell>
          <cell r="G77">
            <v>258.89999999999998</v>
          </cell>
          <cell r="H77">
            <v>323.63</v>
          </cell>
          <cell r="I77">
            <v>20673.48</v>
          </cell>
          <cell r="J77">
            <v>0.25</v>
          </cell>
        </row>
        <row r="78">
          <cell r="A78" t="str">
            <v>2.1.3.1.2.2</v>
          </cell>
          <cell r="B78" t="str">
            <v>COMPS3005</v>
          </cell>
          <cell r="C78" t="str">
            <v>COMPOSIÇÃO</v>
          </cell>
          <cell r="D78" t="str">
            <v>FORNECIMENTO E APLICAÇÃO DE PISO EM TIJOLEIRA 30X15, ASSENTADO COM ARGAMASSA DE CIMENTO E AREIA 1:5, COM REJUNTAMENTO FLEXÍVEL 7MM, QUARTZOLIT OU EQUIVALENTE TÉCNICO.</v>
          </cell>
          <cell r="E78" t="str">
            <v>M2</v>
          </cell>
          <cell r="F78">
            <v>166.7</v>
          </cell>
          <cell r="G78">
            <v>76.640000000000015</v>
          </cell>
          <cell r="H78">
            <v>95.8</v>
          </cell>
          <cell r="I78">
            <v>15969.86</v>
          </cell>
          <cell r="J78">
            <v>0.25</v>
          </cell>
        </row>
        <row r="79">
          <cell r="A79" t="str">
            <v>2.1.3.1.2.5</v>
          </cell>
          <cell r="B79" t="str">
            <v>COMPS3006</v>
          </cell>
          <cell r="C79" t="str">
            <v>COMPOSIÇÃO</v>
          </cell>
          <cell r="D79" t="str">
            <v>FORNECIMENTO E APLICAÇÃO DE PISO TÁTIL DE SOBREPOR, EM BORRACHA SINTÉTICA, DO TIPO ALERTA NA COR PRETA, DIMENSÕES 250X250X5MM, TOTAL ACESSIBILIDADE OU EQUIVALENTE TÉCNICO.</v>
          </cell>
          <cell r="E79" t="str">
            <v>M2</v>
          </cell>
          <cell r="F79">
            <v>2.1</v>
          </cell>
          <cell r="G79">
            <v>117.17</v>
          </cell>
          <cell r="H79">
            <v>146.46</v>
          </cell>
          <cell r="I79">
            <v>307.57</v>
          </cell>
          <cell r="J79">
            <v>0.25</v>
          </cell>
        </row>
        <row r="80">
          <cell r="A80" t="str">
            <v>2.1.3.1.2.7</v>
          </cell>
          <cell r="B80" t="str">
            <v>COMPS3007</v>
          </cell>
          <cell r="C80" t="str">
            <v>COMPOSIÇÃO</v>
          </cell>
          <cell r="D80" t="str">
            <v>FORNECIMENTO E APLICAÇÃO DE REVESTIMENTO PARA PISO OU PAREDE EM CERÂMICA CRISTAL BRANCO 10X10CM, ELIZABETH OU EQUIVALENTE TÉCNICO, ASSENTADO COM ARGAMASSA COLANTE DE USO INTERNO AC I E REJUNTE FLEXÍVEL COR PLATINA E=3MM, QUARTZOLIT OU EQUIVALENTE TÉCNICO.</v>
          </cell>
          <cell r="E80" t="str">
            <v>M2</v>
          </cell>
          <cell r="F80">
            <v>1.05</v>
          </cell>
          <cell r="G80">
            <v>46.599999999999994</v>
          </cell>
          <cell r="H80">
            <v>58.25</v>
          </cell>
          <cell r="I80">
            <v>61.16</v>
          </cell>
          <cell r="J80">
            <v>0.25</v>
          </cell>
        </row>
        <row r="81">
          <cell r="A81" t="str">
            <v>2.1.3.2.4.8</v>
          </cell>
          <cell r="B81" t="str">
            <v>COMPS3007</v>
          </cell>
          <cell r="C81" t="str">
            <v>COMPOSIÇÃO</v>
          </cell>
          <cell r="D81" t="str">
            <v>FORNECIMENTO E APLICAÇÃO DE REVESTIMENTO PARA PISO OU PAREDE EM CERÂMICA CRISTAL BRANCO 10X10CM, ELIZABETH OU EQUIVALENTE TÉCNICO, ASSENTADO COM ARGAMASSA COLANTE DE USO INTERNO AC I E REJUNTE FLEXÍVEL COR PLATINA E=3MM, QUARTZOLIT OU EQUIVALENTE TÉCNICO.</v>
          </cell>
          <cell r="E81" t="str">
            <v>M2</v>
          </cell>
          <cell r="F81">
            <v>5.26</v>
          </cell>
          <cell r="G81">
            <v>46.599999999999994</v>
          </cell>
          <cell r="H81">
            <v>58.25</v>
          </cell>
          <cell r="I81">
            <v>306.39999999999998</v>
          </cell>
          <cell r="J81">
            <v>0.25</v>
          </cell>
        </row>
        <row r="82">
          <cell r="A82" t="str">
            <v>2.1.3.2.4.2</v>
          </cell>
          <cell r="B82" t="str">
            <v>COMPS3008</v>
          </cell>
          <cell r="C82" t="str">
            <v>COMPOSIÇÃO</v>
          </cell>
          <cell r="D82" t="str">
            <v>PAREDE EMASSADA COM MASSA ACRÍLICA E PINTADA COM TINTA ACRÍLICA NA COR AÇÚCAR CRISTAL, REF.: A204, SUVINIL OU EQUIVALENTE TÉCNICO.</v>
          </cell>
          <cell r="E82" t="str">
            <v>M2</v>
          </cell>
          <cell r="F82">
            <v>235.87</v>
          </cell>
          <cell r="G82">
            <v>18.919999999999998</v>
          </cell>
          <cell r="H82">
            <v>23.65</v>
          </cell>
          <cell r="I82">
            <v>5578.33</v>
          </cell>
          <cell r="J82">
            <v>0.25</v>
          </cell>
        </row>
        <row r="83">
          <cell r="A83" t="str">
            <v>2.1.3.2.4.3</v>
          </cell>
          <cell r="B83" t="str">
            <v>COMPS3009</v>
          </cell>
          <cell r="C83" t="str">
            <v>COMPOSIÇÃO</v>
          </cell>
          <cell r="D83" t="str">
            <v>PAREDE EMASSADA COM MASSA PVA E PINTADA COM TINTA PVA A BASE DÁGUA NA COR BRANCO NEVE,  SUVINIL, OU EQUIVALENTE TÉCNICO.</v>
          </cell>
          <cell r="E83" t="str">
            <v>M2</v>
          </cell>
          <cell r="F83">
            <v>651.67999999999995</v>
          </cell>
          <cell r="G83">
            <v>14.969999999999999</v>
          </cell>
          <cell r="H83">
            <v>18.71</v>
          </cell>
          <cell r="I83">
            <v>12192.93</v>
          </cell>
          <cell r="J83">
            <v>0.25</v>
          </cell>
        </row>
        <row r="84">
          <cell r="A84" t="str">
            <v>2.1.3.2.4.4</v>
          </cell>
          <cell r="B84" t="str">
            <v>COMPS3010</v>
          </cell>
          <cell r="C84" t="str">
            <v>COMPOSIÇÃO</v>
          </cell>
          <cell r="D84" t="str">
            <v>PAREDE EMASSADA COM MASSA PVA E PINTADA COM TINTA PVA A BASE D'ÁGUA NA COR FERMENTO EM PÓ, REF.: C173, SUVINIL OU EQUIVALENTE TÉCNICO.</v>
          </cell>
          <cell r="E84" t="str">
            <v>M2</v>
          </cell>
          <cell r="F84">
            <v>503.25</v>
          </cell>
          <cell r="G84">
            <v>73.06</v>
          </cell>
          <cell r="H84">
            <v>91.33</v>
          </cell>
          <cell r="I84">
            <v>45961.82</v>
          </cell>
          <cell r="J84">
            <v>0.25</v>
          </cell>
        </row>
        <row r="85">
          <cell r="A85" t="str">
            <v>2.1.3.2.4.5</v>
          </cell>
          <cell r="B85" t="str">
            <v>COMPS3011</v>
          </cell>
          <cell r="C85" t="str">
            <v>COMPOSIÇÃO</v>
          </cell>
          <cell r="D85" t="str">
            <v>PAREDE EMASSADA COM MASSA PVA E PINTADA COM TINTA PVA A BASE D'ÁGUA NA COR AÇÚCAR CRISTAL, REF.: A204, SUVINIL OU EQUIVALENTE TÉCNICO.</v>
          </cell>
          <cell r="E85" t="str">
            <v>M2</v>
          </cell>
          <cell r="F85">
            <v>114.85</v>
          </cell>
          <cell r="G85">
            <v>70</v>
          </cell>
          <cell r="H85">
            <v>87.5</v>
          </cell>
          <cell r="I85">
            <v>10049.379999999999</v>
          </cell>
          <cell r="J85">
            <v>0.25</v>
          </cell>
        </row>
        <row r="86">
          <cell r="A86" t="str">
            <v>2.1.3.2.4.6</v>
          </cell>
          <cell r="B86" t="str">
            <v>COMPS3012</v>
          </cell>
          <cell r="C86" t="str">
            <v>COMPOSIÇÃO</v>
          </cell>
          <cell r="D86" t="str">
            <v>PAREDE EMASSADA COM MASSA ACRÍLICA E PINTADA COM TINTA ACRÍLICA NA COR FERMENTO EM PÓ, REF.: C173, SUVINIL OU EQUIVALENTE TÉCNICO.</v>
          </cell>
          <cell r="E86" t="str">
            <v>M2</v>
          </cell>
          <cell r="F86">
            <v>22.68</v>
          </cell>
          <cell r="G86">
            <v>19.07</v>
          </cell>
          <cell r="H86">
            <v>23.84</v>
          </cell>
          <cell r="I86">
            <v>540.69000000000005</v>
          </cell>
          <cell r="J86">
            <v>0.25</v>
          </cell>
        </row>
        <row r="87">
          <cell r="A87" t="str">
            <v>2.1.3.3.1.1</v>
          </cell>
          <cell r="B87" t="str">
            <v>COMPS3013</v>
          </cell>
          <cell r="C87" t="str">
            <v>COMPOSIÇÃO</v>
          </cell>
          <cell r="D87" t="str">
            <v>REVISÃO, LIMPEZA E RECOMPOSIÇÃO DE FORRO EM MADEIRA EXISTENTE.</v>
          </cell>
          <cell r="E87" t="str">
            <v>M2</v>
          </cell>
          <cell r="F87">
            <v>24.67</v>
          </cell>
          <cell r="G87">
            <v>52.47</v>
          </cell>
          <cell r="H87">
            <v>65.59</v>
          </cell>
          <cell r="I87">
            <v>1618.11</v>
          </cell>
          <cell r="J87">
            <v>0.25</v>
          </cell>
        </row>
        <row r="88">
          <cell r="A88" t="str">
            <v>2.1.3.3.1.2</v>
          </cell>
          <cell r="B88" t="str">
            <v>COMPS3014</v>
          </cell>
          <cell r="C88" t="str">
            <v>COMPOSIÇÃO</v>
          </cell>
          <cell r="D88" t="str">
            <v>FORNECIMENTO E ASSENTAMENTO DE FORRO DE MADEIRA, TIPO IPÊ OU EQUIVALENTE TÉCNICO, COM TÁBUAS 10X01CM COM ENCAIXE MACHO/FÊMEA, LISO, SEM NÓS E SEM BRANCO COM ACABAMENTO EM STAIN.</v>
          </cell>
          <cell r="E88" t="str">
            <v>M2</v>
          </cell>
          <cell r="F88">
            <v>298.22000000000003</v>
          </cell>
          <cell r="G88">
            <v>144.13</v>
          </cell>
          <cell r="H88">
            <v>180.16</v>
          </cell>
          <cell r="I88">
            <v>53727.32</v>
          </cell>
          <cell r="J88">
            <v>0.25</v>
          </cell>
        </row>
        <row r="89">
          <cell r="A89" t="str">
            <v>2.1.3.3.2.1</v>
          </cell>
          <cell r="B89" t="str">
            <v>COMPS3015</v>
          </cell>
          <cell r="C89" t="str">
            <v>COMPOSIÇÃO</v>
          </cell>
          <cell r="D89" t="str">
            <v>EMASSA MENTO E PINTURA DE TETO EMASSADO COM MASSA ACRÍLICA E PINTADO COM TINTA ACRÍLICA NA COR BRANCO NEVE, SUVINIL OU EQUIVALENTE TÉCNICO.</v>
          </cell>
          <cell r="E89" t="str">
            <v>M2</v>
          </cell>
          <cell r="F89">
            <v>96.07</v>
          </cell>
          <cell r="G89">
            <v>19.68</v>
          </cell>
          <cell r="H89">
            <v>24.6</v>
          </cell>
          <cell r="I89">
            <v>2363.3200000000002</v>
          </cell>
          <cell r="J89">
            <v>0.25</v>
          </cell>
        </row>
        <row r="90">
          <cell r="A90" t="str">
            <v>2.1.3.3.2.2</v>
          </cell>
          <cell r="B90" t="str">
            <v>COMPS3016</v>
          </cell>
          <cell r="C90" t="str">
            <v>COMPOSIÇÃO</v>
          </cell>
          <cell r="D90" t="str">
            <v>REVISÃO, LIMPEZA E RECOMPOSIÇÃO, SE NECESSÁRIO, DE ESTRUTURA METÁLICA PARA COBERTURA.</v>
          </cell>
          <cell r="E90" t="str">
            <v>M2</v>
          </cell>
          <cell r="F90">
            <v>199.28</v>
          </cell>
          <cell r="G90">
            <v>40.06</v>
          </cell>
          <cell r="H90">
            <v>50.08</v>
          </cell>
          <cell r="I90">
            <v>9979.94</v>
          </cell>
          <cell r="J90">
            <v>0.25</v>
          </cell>
        </row>
        <row r="91">
          <cell r="A91" t="str">
            <v>2.1.3.3.2.10</v>
          </cell>
          <cell r="B91" t="str">
            <v>COMPS3019</v>
          </cell>
          <cell r="C91" t="str">
            <v>COMPOSIÇÃO</v>
          </cell>
          <cell r="D91" t="str">
            <v>EXECUÇÃO DE IMPERMEABILIZAÇÃO EM LAJE DE CONCRETO PLANA, COM MANTA IMPERMEABILIZANTE TIPO ASFÁLTICA, REBOCADA COM ARGAMASSA NO TRAÇO 1:4, COM ADITIVO IMPERMEABILIZANTE SIKA 1 NAS PROPORÇÕES INDICADAS PELO FABRICANTE.</v>
          </cell>
          <cell r="E91" t="str">
            <v>M2</v>
          </cell>
          <cell r="F91">
            <v>99.7</v>
          </cell>
          <cell r="G91">
            <v>75</v>
          </cell>
          <cell r="H91">
            <v>93.75</v>
          </cell>
          <cell r="I91">
            <v>9346.8799999999992</v>
          </cell>
          <cell r="J91">
            <v>0.25</v>
          </cell>
        </row>
        <row r="92">
          <cell r="A92" t="str">
            <v>2.1.3.6.1</v>
          </cell>
          <cell r="B92" t="str">
            <v>COMPS3020</v>
          </cell>
          <cell r="C92" t="str">
            <v>COMPOSIÇÃO</v>
          </cell>
          <cell r="D92" t="str">
            <v>FORNECIMENTO E COLOCAÇÃO DE DIVISÓRIA EM PEDRA GRANÍTICA BRANCO AQUALUX E=2CM, H=1,80M, ACABAMENTO POLIDO EM AMBOS OS LADOS.</v>
          </cell>
          <cell r="E92" t="str">
            <v>M2</v>
          </cell>
          <cell r="F92">
            <v>17.48</v>
          </cell>
          <cell r="G92">
            <v>551.46</v>
          </cell>
          <cell r="H92">
            <v>689.33</v>
          </cell>
          <cell r="I92">
            <v>12049.49</v>
          </cell>
          <cell r="J92">
            <v>0.25</v>
          </cell>
        </row>
        <row r="93">
          <cell r="A93" t="str">
            <v>2.1.3.6.2</v>
          </cell>
          <cell r="B93" t="str">
            <v>COMPS3021</v>
          </cell>
          <cell r="C93" t="str">
            <v>COMPOSIÇÃO</v>
          </cell>
          <cell r="D93" t="str">
            <v>FORNECIMENTO E COLOCAÇÃO DE BANCADA EM PEDRA GRANÍTICA BRANCO AQUALUX E=2CM, 35CM DE LARGURA, A SER CHUMBADA NA PAREDE. COM RESPALDO DE 20CM E TESTEIRA DE 8CM, ACABAMENTO POLIDO.</v>
          </cell>
          <cell r="E93" t="str">
            <v>M</v>
          </cell>
          <cell r="F93">
            <v>3</v>
          </cell>
          <cell r="G93">
            <v>269.3</v>
          </cell>
          <cell r="H93">
            <v>336.63</v>
          </cell>
          <cell r="I93">
            <v>1009.89</v>
          </cell>
          <cell r="J93">
            <v>0.25</v>
          </cell>
        </row>
        <row r="94">
          <cell r="A94" t="str">
            <v>2.1.3.6.3</v>
          </cell>
          <cell r="B94" t="str">
            <v>COMPS3022</v>
          </cell>
          <cell r="C94" t="str">
            <v>COMPOSIÇÃO</v>
          </cell>
          <cell r="D94" t="str">
            <v>FORNECIMENTO E COLOCAÇÃO DE BANCADA EM PEDRA GRANÍTICA BRANCO AQUALUX E=2CM, 50CM DE LARGURA, A SER CHUMBADA NA PAREDE. COM RESPALDO DE 8CM E TESTEIRA DE 8CM, ACABAMENTO POLIDO.</v>
          </cell>
          <cell r="E94" t="str">
            <v>M</v>
          </cell>
          <cell r="F94">
            <v>5.6</v>
          </cell>
          <cell r="G94">
            <v>348.05</v>
          </cell>
          <cell r="H94">
            <v>435.06</v>
          </cell>
          <cell r="I94">
            <v>2436.34</v>
          </cell>
          <cell r="J94">
            <v>0.25</v>
          </cell>
        </row>
        <row r="95">
          <cell r="A95" t="str">
            <v>2.1.3.6.4</v>
          </cell>
          <cell r="B95" t="str">
            <v>COMPS3023</v>
          </cell>
          <cell r="C95" t="str">
            <v>COMPOSIÇÃO</v>
          </cell>
          <cell r="D95" t="str">
            <v>FORNECIMENTO E COLOCAÇÃO DE BANCADA EM PEDRA GRANITICA BRANCO AQUALUX E=2CM, 60CM DE LARGURA, APOIADA SOBRE ALVENARIA DE 1/2 VEZ, COM TESTEIRA DE 8CM, CONFORME DETALHE, ACABAMENTO POLIDO.</v>
          </cell>
          <cell r="E95" t="str">
            <v>M</v>
          </cell>
          <cell r="F95">
            <v>5.5</v>
          </cell>
          <cell r="G95">
            <v>546.26</v>
          </cell>
          <cell r="H95">
            <v>682.83</v>
          </cell>
          <cell r="I95">
            <v>3755.57</v>
          </cell>
          <cell r="J95">
            <v>0.25</v>
          </cell>
        </row>
        <row r="96">
          <cell r="A96" t="str">
            <v>2.1.3.6.5</v>
          </cell>
          <cell r="B96" t="str">
            <v>COMPS3024</v>
          </cell>
          <cell r="C96" t="str">
            <v>COMPOSIÇÃO</v>
          </cell>
          <cell r="D96" t="str">
            <v>FORNECIMENTO E COLOCAÇÃO DE RODAPÉ EM PEDRA GRANITICA BRANCO AQUALUX, ALTURA 15CM, ACABAMENTO POLIDO.</v>
          </cell>
          <cell r="E96" t="str">
            <v>M</v>
          </cell>
          <cell r="F96">
            <v>19.2</v>
          </cell>
          <cell r="G96">
            <v>80.669999999999987</v>
          </cell>
          <cell r="H96">
            <v>100.84</v>
          </cell>
          <cell r="I96">
            <v>1936.13</v>
          </cell>
          <cell r="J96">
            <v>0.25</v>
          </cell>
        </row>
        <row r="97">
          <cell r="A97" t="str">
            <v>2.1.3.6.9</v>
          </cell>
          <cell r="B97" t="str">
            <v>COMPS3028</v>
          </cell>
          <cell r="C97" t="str">
            <v>COMPOSIÇÃO</v>
          </cell>
          <cell r="D97" t="str">
            <v>FORNECIMENTO E COLOCAÇÃO DE SOLEIRA EM PEDRA GRANÍTICA BRANCO AQUALUX, L=15CM E=2CM, ACABAMENTO POLIDO, CONFORME DETALHE.</v>
          </cell>
          <cell r="E97" t="str">
            <v>M</v>
          </cell>
          <cell r="F97">
            <v>6.24</v>
          </cell>
          <cell r="G97">
            <v>202.17</v>
          </cell>
          <cell r="H97">
            <v>252.71</v>
          </cell>
          <cell r="I97">
            <v>1576.91</v>
          </cell>
          <cell r="J97">
            <v>0.25</v>
          </cell>
        </row>
        <row r="98">
          <cell r="A98" t="str">
            <v>2.1.3.6.10</v>
          </cell>
          <cell r="B98" t="str">
            <v>COMPS3029</v>
          </cell>
          <cell r="C98" t="str">
            <v>COMPOSIÇÃO</v>
          </cell>
          <cell r="D98" t="str">
            <v>FORNECIMENTO E COLOCAÇÃO DE PRATELEIRA EM PEDRA GRANÍTICA BRANCO AQUALUX E=2CM, 25CM DE LARGURA, ACABAMENTO POLIDO EM AMBOS OS LADOS.</v>
          </cell>
          <cell r="E98" t="str">
            <v>M2</v>
          </cell>
          <cell r="F98">
            <v>1.96</v>
          </cell>
          <cell r="G98">
            <v>472.55</v>
          </cell>
          <cell r="H98">
            <v>590.69000000000005</v>
          </cell>
          <cell r="I98">
            <v>1157.75</v>
          </cell>
          <cell r="J98">
            <v>0.25</v>
          </cell>
        </row>
        <row r="99">
          <cell r="A99" t="str">
            <v>2.1.3.7.3</v>
          </cell>
          <cell r="B99" t="str">
            <v>COMPS3031</v>
          </cell>
          <cell r="C99" t="str">
            <v>COMPOSIÇÃO</v>
          </cell>
          <cell r="D99" t="str">
            <v>FORNECIMENTO E COLOCAÇÃO DE ESPELHO CRISTAL E=4MM, COLADO SOBRE ESTRUTURA EM COMPENSADO E=6MM, COM INCLINAÇÃO DE 10º PARA BANHEIRO ACESSÍVEL.</v>
          </cell>
          <cell r="E99" t="str">
            <v>M2</v>
          </cell>
          <cell r="F99">
            <v>0.5</v>
          </cell>
          <cell r="G99">
            <v>368.88</v>
          </cell>
          <cell r="H99">
            <v>461.1</v>
          </cell>
          <cell r="I99">
            <v>230.55</v>
          </cell>
          <cell r="J99">
            <v>0.25</v>
          </cell>
        </row>
        <row r="100">
          <cell r="A100" t="str">
            <v>2.1.3.8.1</v>
          </cell>
          <cell r="B100" t="str">
            <v>COMPS3032</v>
          </cell>
          <cell r="C100" t="str">
            <v>COMPOSIÇÃO</v>
          </cell>
          <cell r="D100" t="str">
            <v>FORNECIMENTO E COLOCAÇÃO DE DISPENSER PARA SABONETE, LINHA URBAN, REF.: C19161, COR BRANCA, PREMISSE OU EQUIVALENTE TÉCNICO.</v>
          </cell>
          <cell r="E100" t="str">
            <v>UND</v>
          </cell>
          <cell r="F100">
            <v>5</v>
          </cell>
          <cell r="G100">
            <v>26.946445999999998</v>
          </cell>
          <cell r="H100">
            <v>33.68</v>
          </cell>
          <cell r="I100">
            <v>168.4</v>
          </cell>
          <cell r="J100">
            <v>0.25</v>
          </cell>
        </row>
        <row r="101">
          <cell r="A101" t="str">
            <v>2.1.3.8.2</v>
          </cell>
          <cell r="B101" t="str">
            <v>COMPS3033</v>
          </cell>
          <cell r="C101" t="str">
            <v>COMPOSIÇÃO</v>
          </cell>
          <cell r="D101" t="str">
            <v>FORNECIMENTO E COLOCAÇÃO DE TOALHEIRO COM ALAVANCA, LINHA BOBINA, REF.: C19432, COR BRANCA, PREMISSE OU EQUIVALENTE TÉCNICO.</v>
          </cell>
          <cell r="E101" t="str">
            <v>UND</v>
          </cell>
          <cell r="F101">
            <v>7</v>
          </cell>
          <cell r="G101">
            <v>184.95999999999998</v>
          </cell>
          <cell r="H101">
            <v>231.2</v>
          </cell>
          <cell r="I101">
            <v>1618.4</v>
          </cell>
          <cell r="J101">
            <v>0.25</v>
          </cell>
        </row>
        <row r="102">
          <cell r="A102" t="str">
            <v>2.1.3.8.3</v>
          </cell>
          <cell r="B102" t="str">
            <v>COMPS3034</v>
          </cell>
          <cell r="C102" t="str">
            <v>COMPOSIÇÃO</v>
          </cell>
          <cell r="D102" t="str">
            <v>FORNECIMENTO E COLOCAÇÃO DE DISPENSER MÚLTIPLO PARA PAPEL HIGIÊNICO, LINHA URBAN, REF.: C19281, COR BRANCA, PREMISSE OU EQUIVALENTE TÉCNICO.</v>
          </cell>
          <cell r="E102" t="str">
            <v>UND</v>
          </cell>
          <cell r="F102">
            <v>7</v>
          </cell>
          <cell r="G102">
            <v>30.150000000000002</v>
          </cell>
          <cell r="H102">
            <v>37.69</v>
          </cell>
          <cell r="I102">
            <v>263.83</v>
          </cell>
          <cell r="J102">
            <v>0.25</v>
          </cell>
        </row>
        <row r="103">
          <cell r="A103" t="str">
            <v>2.1.3.8.6</v>
          </cell>
          <cell r="B103" t="str">
            <v>COMPS3035</v>
          </cell>
          <cell r="C103" t="str">
            <v>COMPOSIÇÃO</v>
          </cell>
          <cell r="D103" t="str">
            <v>FORNECIMENTO E COLOCAÇÃO DE CABIDE CROMADO LINHA EVIDENCE, REF. 2060 C EVD, DECA OU EQUIVALENTE TÉCNICO.</v>
          </cell>
          <cell r="E103" t="str">
            <v>UND</v>
          </cell>
          <cell r="F103">
            <v>1</v>
          </cell>
          <cell r="G103">
            <v>65.430000000000007</v>
          </cell>
          <cell r="H103">
            <v>81.790000000000006</v>
          </cell>
          <cell r="I103">
            <v>81.790000000000006</v>
          </cell>
          <cell r="J103">
            <v>0.25</v>
          </cell>
        </row>
        <row r="104">
          <cell r="A104" t="str">
            <v>2.1.3.8.7</v>
          </cell>
          <cell r="B104" t="str">
            <v>COMPS3036</v>
          </cell>
          <cell r="C104" t="str">
            <v>COMPOSIÇÃO</v>
          </cell>
          <cell r="D104" t="str">
            <v>FORNECIMENTO E COLOCAÇÃO DE BARRA DE APOIO 80CM, EM AÇO INOXIDÁVEL, CÓD.: 00446416, DOCOL OU EQUIVALENTE TÉCNICO.</v>
          </cell>
          <cell r="E104" t="str">
            <v>UND</v>
          </cell>
          <cell r="F104">
            <v>2</v>
          </cell>
          <cell r="G104">
            <v>322.17</v>
          </cell>
          <cell r="H104">
            <v>402.71</v>
          </cell>
          <cell r="I104">
            <v>805.42</v>
          </cell>
          <cell r="J104">
            <v>0.25</v>
          </cell>
        </row>
        <row r="105">
          <cell r="A105" t="str">
            <v>2.1.3.10.1</v>
          </cell>
          <cell r="B105" t="str">
            <v>COMPS3037</v>
          </cell>
          <cell r="C105" t="str">
            <v>COMPOSIÇÃO</v>
          </cell>
          <cell r="D105" t="str">
            <v>EXECUÇÃO DE IMPERMEABILIZAÇÃO DE CAIXA D'ÁGUA EM CONCRETO, COM MANTA IMPERMEABILIZANTE TIPO ASFALTICA, REBOCADA COM ARGAMASSA NO TRAÇO 1:4 COM ADITIVO IMPERMEABILIZANTE SIKA 1 NAS PROPORÇÕES INDICADAS PELO FABRICANTE.</v>
          </cell>
          <cell r="E105" t="str">
            <v>M2</v>
          </cell>
          <cell r="F105">
            <v>17.96</v>
          </cell>
          <cell r="G105">
            <v>75</v>
          </cell>
          <cell r="H105">
            <v>93.75</v>
          </cell>
          <cell r="I105">
            <v>1683.75</v>
          </cell>
          <cell r="J105">
            <v>0.25</v>
          </cell>
        </row>
        <row r="106">
          <cell r="A106" t="str">
            <v>2.1.3.10.2</v>
          </cell>
          <cell r="B106" t="str">
            <v>COMPS3038</v>
          </cell>
          <cell r="C106" t="str">
            <v>COMPOSIÇÃO</v>
          </cell>
          <cell r="D106" t="str">
            <v>FORNECIMENTO E COLOCAÇÃO DE CAIXA D'ÁGUA DE POLIETILENO, CAPACIDADE 1.500L, TIGRE OU EQUIVALENTE TÉCNICO.</v>
          </cell>
          <cell r="E106" t="str">
            <v>UND</v>
          </cell>
          <cell r="F106">
            <v>2</v>
          </cell>
          <cell r="G106">
            <v>1048.58</v>
          </cell>
          <cell r="H106">
            <v>1310.73</v>
          </cell>
          <cell r="I106">
            <v>2621.46</v>
          </cell>
          <cell r="J106">
            <v>0.25</v>
          </cell>
        </row>
        <row r="107">
          <cell r="A107" t="str">
            <v>2.1.3.11.1</v>
          </cell>
          <cell r="B107" t="str">
            <v>COMPS3039</v>
          </cell>
          <cell r="C107" t="str">
            <v>COMPOSIÇÃO</v>
          </cell>
          <cell r="D107" t="str">
            <v>FORNECIMENTO E INSTALAÇÃO DE GUARDA-CORPO TUBULAR EM AÇO INOX, COM CORRIMÃO EM AÇO INOX, H=70CM. COM TRAVESSAS, ACABAMENTO ESCOVADO E EXTREMIDADES CURVADAS, FIXADO NO PISO COM FLANGE EM AÇO INOX DE Ø = 75MM, PARA MONTANTE DE Ø = 1.1/2" CONFORME DETALHE.</v>
          </cell>
          <cell r="E107" t="str">
            <v>M</v>
          </cell>
          <cell r="F107">
            <v>6.42</v>
          </cell>
          <cell r="G107">
            <v>695.93000000000006</v>
          </cell>
          <cell r="H107">
            <v>869.91</v>
          </cell>
          <cell r="I107">
            <v>5584.82</v>
          </cell>
          <cell r="J107">
            <v>0.25</v>
          </cell>
        </row>
        <row r="108">
          <cell r="A108" t="str">
            <v>2.1.3.11.2</v>
          </cell>
          <cell r="B108" t="str">
            <v>COMPS3040</v>
          </cell>
          <cell r="C108" t="str">
            <v>COMPOSIÇÃO</v>
          </cell>
          <cell r="D108" t="str">
            <v xml:space="preserve">FORNECIMENTO E INSTALAÇÃO DE GUARDA-CORPO TUBULAR EM AÇO INOX, COM TRAVESSAS, ACABAMENTO ESCOVADO E EXTREMIDADES CURVADAS, FIXADO NO PISO COM FLANGE EM AÇO INOX DE Ø = 75MM, PARA MONTANTE DE Ø = 1.1/2" CONFORME DETALHE.  </v>
          </cell>
          <cell r="E108" t="str">
            <v>M</v>
          </cell>
          <cell r="F108">
            <v>9.32</v>
          </cell>
          <cell r="G108">
            <v>648.59</v>
          </cell>
          <cell r="H108">
            <v>810.74</v>
          </cell>
          <cell r="I108">
            <v>7556.1</v>
          </cell>
          <cell r="J108">
            <v>0.25</v>
          </cell>
        </row>
        <row r="109">
          <cell r="A109" t="str">
            <v>2.1.3.15.1.1</v>
          </cell>
          <cell r="B109" t="str">
            <v>COMPS3041</v>
          </cell>
          <cell r="C109" t="str">
            <v>COMPOSIÇÃO</v>
          </cell>
          <cell r="D109" t="str">
            <v>P01 - REVISÃO E REPARO, INCLUSIVE RETIRADA DE FECHADURAS DE SOBREPOR E PINTURA, DE PORTA DE MADEIRA EXISTENTE A SER MANTIDA (1,60x3,47m). DUAS FOLHAS DE GIRO, COM ALMOFADA E BANDEIRA FIXA EM ARCO COM VIDRO. PINTURA EM ESMALTE SINTÉTICO PARA SUPERFICIES DE MADEIRA, NA COR VERDE COLONIAL, REF.: 674 CORAL OU EQUIVALENTE TÉCNICO, ACABAMENTO ALTO BRILHO.  RETIRAR FECHADURAS DE SOBREPOR. ACRESCENTAR FERROLHO DE SOBREPOR (2UN.) E FECHADURA TIPO CILINDRO, SEM MAÇANETA, PARA USO EXTERNO REF.: 1501, COM ROSETA EM MODELO COLONIAL (RZL), STAM OU EQUIVALENTE TÉCNICO. (1UN.). COM DOBRADIÇAS TIPO PINO RETO SIMPLES SEM RODÍZIO. (8UN.)</v>
          </cell>
          <cell r="E109" t="str">
            <v>UND</v>
          </cell>
          <cell r="F109">
            <v>1</v>
          </cell>
          <cell r="G109">
            <v>701.85</v>
          </cell>
          <cell r="H109">
            <v>877.31</v>
          </cell>
          <cell r="I109">
            <v>877.31</v>
          </cell>
          <cell r="J109">
            <v>0.25</v>
          </cell>
        </row>
        <row r="110">
          <cell r="A110" t="str">
            <v>2.1.3.15.1.2</v>
          </cell>
          <cell r="B110" t="str">
            <v>COMPS3042</v>
          </cell>
          <cell r="C110" t="str">
            <v>COMPOSIÇÃO</v>
          </cell>
          <cell r="D110" t="str">
            <v>P02 - REVISÃO, REPARO E PINTURA DE PORTA DE MADEIRA EXISTENTE A SER MANTIDA (1,25x2,13m). DUAS FOLHAS DE GIRO, COM ALMOFADA. PINTURA EM ESMALTE SINTÉTICO PARA SUPERFICIES DE MADEIRA, NA COR VERDE COLONIAL, REF.: 674 CORAL OU EQUIVALENTE TÉCNICO, ACABAMENTO ALTO BRILHO. FERROLHO DE SOBREPOR (4UN.) DOBRADIÇAS TIPO PINO RETO SIMPLES SEM RODÍZIO. (4UN.) COM TRAVA HORIZONTAL. INSERIR BACALHAU DE 10cm PARA NIVELAR PORTA COM O PISO, CONFORME DETALHE.</v>
          </cell>
          <cell r="E110" t="str">
            <v>UND</v>
          </cell>
          <cell r="F110">
            <v>1</v>
          </cell>
          <cell r="G110">
            <v>239.79</v>
          </cell>
          <cell r="H110">
            <v>299.74</v>
          </cell>
          <cell r="I110">
            <v>299.74</v>
          </cell>
          <cell r="J110">
            <v>0.25</v>
          </cell>
        </row>
        <row r="111">
          <cell r="A111" t="str">
            <v>2.1.3.15.1.3</v>
          </cell>
          <cell r="B111" t="str">
            <v>COMPS3043</v>
          </cell>
          <cell r="C111" t="str">
            <v>COMPOSIÇÃO</v>
          </cell>
          <cell r="D111" t="str">
            <v>P03 - FORNECIMENTO E INSTALAÇÃO DE PORTA EM MADEIRA IPÊ PINTADA COM STEIN ACETINADO INCOLOR UMA FOLHA DE GIRO (0,80x2,10m). COM FECHADURA TIPO ALAVANCA SEM ESPELHO, PARA BANHEIRO, MODELO INOXVITA MI600 OFFICE, ACABAMENTO CROMADO, PAPAIZ OU EQUIVALENTE TÉCNICO. COM DOBRADIÇA TIPO PINO RETO (3 1/2" X 2 1/2"), ACABAMENTO CROMADO, PAPAIZ OU EQUIVALENTE TÉCNICO. (3UN.)</v>
          </cell>
          <cell r="E111" t="str">
            <v>UND</v>
          </cell>
          <cell r="F111">
            <v>5</v>
          </cell>
          <cell r="G111">
            <v>1153.1500000000001</v>
          </cell>
          <cell r="H111">
            <v>1441.44</v>
          </cell>
          <cell r="I111">
            <v>7207.2</v>
          </cell>
          <cell r="J111">
            <v>0.25</v>
          </cell>
        </row>
        <row r="112">
          <cell r="A112" t="str">
            <v>2.1.3.15.1.4</v>
          </cell>
          <cell r="B112" t="str">
            <v>COMPS3044</v>
          </cell>
          <cell r="C112" t="str">
            <v>COMPOSIÇÃO</v>
          </cell>
          <cell r="D112" t="str">
            <v>P04 - FORNECIMENTO E INSTALAÇÃO DE PORTA EM VIDRO TEMPERADO COM ADESIVO JATEADO 8 mm, UMA FOLHA DE GIRO (0,60x1,65m). FECHADURA UNIVERSAL TIPO TARJETA LIVRE/OCUPADO COM O CORPO EM NYLON REFORÇADO COM FIBRA DE VIDRO NA COR PRETA FOSCA E ESPELHOS DE ACABAMENTO EM POLICARBONATO, NA COR PRATA, NEOCOM SYSTEM OU EQUIVALENTE TÉCNICO. PUXADOR CONVENCIONAL, INCLUSO NO SITEMA. DOBRADIÇAS AUTOMÁTICAS TIPO “SELF-CLOSING” EM LIGA ESPECIAL DE ALUMÍNIO (3UN.), COM DUPLO APOIO PARA O PINO EIXO, ARTICULADO SOBRE BUCHAS DE NYLON, COM CONTROLE DO ÂNGULO DE PERMANÊNCIA DE 30° (ABERTURA PARCIAL), 0° (FECHADA), OU QUALQUER OUTRO ÂNGULO MÚLTIPLO DE 30° COM ACABAMENTO ANODIZADO, NEOCOM SYSTEM OU EQUIVALENTE TÉCNICO.</v>
          </cell>
          <cell r="E112" t="str">
            <v>UND</v>
          </cell>
          <cell r="F112">
            <v>8</v>
          </cell>
          <cell r="G112">
            <v>1004.23</v>
          </cell>
          <cell r="H112">
            <v>1255.29</v>
          </cell>
          <cell r="I112">
            <v>10042.32</v>
          </cell>
          <cell r="J112">
            <v>0.25</v>
          </cell>
        </row>
        <row r="113">
          <cell r="A113" t="str">
            <v>2.1.3.15.1.5</v>
          </cell>
          <cell r="B113" t="str">
            <v>COMPS3045</v>
          </cell>
          <cell r="C113" t="str">
            <v>COMPOSIÇÃO</v>
          </cell>
          <cell r="D113" t="str">
            <v>P05 - FORNECIMENTO E INSTALAÇÃO DE PORTA DE CORRER SANFONADA EM PVC RÍGIDO DE ALTO IMPACTO, COM TRINCO, NÃO PROPAGA FOGO E RESISTENTE A UMIDADE - DIMENSÕES 1,00 X 2,10M COM FECHADURA CONVENCIONAL INCLUSO NO SISTEMA.</v>
          </cell>
          <cell r="E113" t="str">
            <v>UND</v>
          </cell>
          <cell r="F113">
            <v>1</v>
          </cell>
          <cell r="G113">
            <v>159.81</v>
          </cell>
          <cell r="H113">
            <v>199.76</v>
          </cell>
          <cell r="I113">
            <v>199.76</v>
          </cell>
          <cell r="J113">
            <v>0.25</v>
          </cell>
        </row>
        <row r="114">
          <cell r="A114" t="str">
            <v>2.1.3.15.1.6</v>
          </cell>
          <cell r="B114" t="str">
            <v>COMPS3046</v>
          </cell>
          <cell r="C114" t="str">
            <v>COMPOSIÇÃO</v>
          </cell>
          <cell r="D114" t="str">
            <v>P06 - FORNECIMENTO E INSTALAÇÃO DE PORTA DE MADEIRA IPÊ PINTADA COM STEIN ACETINADO INCOLOR UMA FILHA DE GIRO (1,00x2,10m). FECHADURA TIPO ALAVANCA SEM ESPELHO, PARA BANHEIRO, MODELO INOXVITA MI600 OFFICE, ACABAMENTO CROMADO, PAPAIZ OU EQUIVALENTE TÉCNICO. DOBRADIÇA TIPO PINO RETO (3 1/2" X 2 1/2"), ACABAMENTO CROMADO, PAPAIZ OU EQUIVALENTE TÉCNICO. (3UN.)</v>
          </cell>
          <cell r="E114" t="str">
            <v>UND</v>
          </cell>
          <cell r="F114">
            <v>1</v>
          </cell>
          <cell r="G114">
            <v>1334.4899999999998</v>
          </cell>
          <cell r="H114">
            <v>1668.11</v>
          </cell>
          <cell r="I114">
            <v>1668.11</v>
          </cell>
          <cell r="J114">
            <v>0.25</v>
          </cell>
        </row>
        <row r="115">
          <cell r="A115" t="str">
            <v>2.1.3.15.1.7</v>
          </cell>
          <cell r="B115" t="str">
            <v>COMPS3047</v>
          </cell>
          <cell r="C115" t="str">
            <v>COMPOSIÇÃO</v>
          </cell>
          <cell r="D115" t="str">
            <v>P07 - REVISÃO, REPARO E PINTURA DE PORTA DE MADEIRA EXISTENTE A SER MANTIDA (1,30x3,03m). DUAS FOLHAS DE GIRO, COM ALMOFADA. COM POSTIGO, VENEZIANA E BANDEIRA FIXA COM VIDRO. PINTURA EM ESMALTE SINTÉTICO PARA SUPERFICIES DE MADEIRA, NA COR VERDE COLONIAL, REF.: 674 CORAL OU EQUIVALENTE TÉCNICO, ACABAMENTO ALTO BRILHO. COM FERROLHO DE SOBREPOR (6UN.) DOBRADIÇAS TIPO PINO RETO SIMPLES SEM RODÍZIO. (6UN.)</v>
          </cell>
          <cell r="E115" t="str">
            <v>UND</v>
          </cell>
          <cell r="F115">
            <v>2</v>
          </cell>
          <cell r="G115">
            <v>310.98</v>
          </cell>
          <cell r="H115">
            <v>388.73</v>
          </cell>
          <cell r="I115">
            <v>777.46</v>
          </cell>
          <cell r="J115">
            <v>0.25</v>
          </cell>
        </row>
        <row r="116">
          <cell r="A116" t="str">
            <v>2.1.3.15.1.8</v>
          </cell>
          <cell r="B116" t="str">
            <v>COMPS3048</v>
          </cell>
          <cell r="C116" t="str">
            <v>COMPOSIÇÃO</v>
          </cell>
          <cell r="D116" t="str">
            <v>P08 - REVISÃO, REPARO E PINTURA DE PORTA DE MADEIRA EXISTENTE A SER MANTIDA (1,67x3,87m). DUAS FOLHAS DE GIRO, COM ALMOFADA. COM POSTIGO, VENEZIANA E BANDEIRA FIXA COM VIDRO. PINTURA EM ESMALTE SINTÉTICO PARA SUPERFICIES DE MADEIRA, NA COR VERDE COLONIAL, REF.: 674 CORAL OU EQUIVALENTE TÉCNICO, ACABAMENTO ALTO BRILHO. COM FERROLHO DE SOBREPOR (03UN.) E FECHADURA TIPO CREMONA (01UN.). DOBRADIÇAS TIPO PINO RETO SIMPLES SEM RODÍZIO. (6UN.)</v>
          </cell>
          <cell r="E116" t="str">
            <v>UND</v>
          </cell>
          <cell r="F116">
            <v>1</v>
          </cell>
          <cell r="G116">
            <v>821.74000000000012</v>
          </cell>
          <cell r="H116">
            <v>1027.18</v>
          </cell>
          <cell r="I116">
            <v>1027.18</v>
          </cell>
          <cell r="J116">
            <v>0.25</v>
          </cell>
        </row>
        <row r="117">
          <cell r="A117" t="str">
            <v>2.1.3.15.1.9</v>
          </cell>
          <cell r="B117" t="str">
            <v>COMPS3049</v>
          </cell>
          <cell r="C117" t="str">
            <v>COMPOSIÇÃO</v>
          </cell>
          <cell r="D117" t="str">
            <v>P09 - REVISÃO, REPARO E PINTURA DE PORTA DE MADEIRA EXISTENTE A SER MANTIDA (1,78x2,89m). DUAS FOLHAS DE GIRO, COM ALMOFADA. PINTURA EM ESMALTE SINTÉTICO PARA SUPERFICIES DE MADEIRA, NA COR VERDE COLONIAL, REF.: 674 CORAL OU EQUIVALENTE TÉCNICO, ACABAMENTO ALTO BRILHO. COM FERROLHO DE SOBREPOR (2UN.) E FECHADURA COM ESPELHO E MAÇANETA TIPO BOLA (1UN.) DOBRADIÇAS TIPO PINO RETO SIMPLES SEM RODÍZIO. (8UN.)</v>
          </cell>
          <cell r="E117" t="str">
            <v>UND</v>
          </cell>
          <cell r="F117">
            <v>1</v>
          </cell>
          <cell r="G117">
            <v>654.05999999999995</v>
          </cell>
          <cell r="H117">
            <v>817.58</v>
          </cell>
          <cell r="I117">
            <v>817.58</v>
          </cell>
          <cell r="J117">
            <v>0.25</v>
          </cell>
        </row>
        <row r="118">
          <cell r="A118" t="str">
            <v>2.1.3.15.1.10</v>
          </cell>
          <cell r="B118" t="str">
            <v>COMPS3050</v>
          </cell>
          <cell r="C118" t="str">
            <v>COMPOSIÇÃO</v>
          </cell>
          <cell r="D118" t="str">
            <v>P10 - FORNECIMENTO E INSTALAÇÃO DE PORTA TIPO ESTEIRA EM AÇO GALVANIZADO, COM PINTURA ELETROSTÁTICA NA COR CINZA, PERFIL TIPO MEIA CANA PERFURADO H=APROX.80MM, ABERTURA MANUAL - DIMENSÕES 2,40X2,20M</v>
          </cell>
          <cell r="E118" t="str">
            <v>UND</v>
          </cell>
          <cell r="F118">
            <v>8</v>
          </cell>
          <cell r="G118">
            <v>1434.1</v>
          </cell>
          <cell r="H118">
            <v>1792.63</v>
          </cell>
          <cell r="I118">
            <v>14341.04</v>
          </cell>
          <cell r="J118">
            <v>0.25</v>
          </cell>
        </row>
        <row r="119">
          <cell r="A119" t="str">
            <v>2.1.3.15.2.1</v>
          </cell>
          <cell r="B119" t="str">
            <v>COMPS3051</v>
          </cell>
          <cell r="C119" t="str">
            <v>COMPOSIÇÃO</v>
          </cell>
          <cell r="D119" t="str">
            <v>J01 - REVISÃO, REPARO E PINTURA DE JANELA DE MADEIRA EXISTENTE A SER MANTIDA (1,28x2,92/0,62m).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(12UN.).</v>
          </cell>
          <cell r="E119" t="str">
            <v>UND</v>
          </cell>
          <cell r="F119">
            <v>2</v>
          </cell>
          <cell r="G119">
            <v>295.09000000000003</v>
          </cell>
          <cell r="H119">
            <v>368.86</v>
          </cell>
          <cell r="I119">
            <v>737.72</v>
          </cell>
          <cell r="J119">
            <v>0.25</v>
          </cell>
        </row>
        <row r="120">
          <cell r="A120" t="str">
            <v>2.1.3.15.2.2</v>
          </cell>
          <cell r="B120" t="str">
            <v>COMPS3052</v>
          </cell>
          <cell r="C120" t="str">
            <v>COMPOSIÇÃO</v>
          </cell>
          <cell r="D120" t="str">
            <v>J02 - REVISÃO, REPARO E PINTURA DE JANELA DE MADEIRA EXISTENTE A SER MANTIDA (1,20x2,14/0,90m).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v>
          </cell>
          <cell r="E120" t="str">
            <v>UND</v>
          </cell>
          <cell r="F120">
            <v>3</v>
          </cell>
          <cell r="G120">
            <v>202.73999999999998</v>
          </cell>
          <cell r="H120">
            <v>253.43</v>
          </cell>
          <cell r="I120">
            <v>760.29</v>
          </cell>
          <cell r="J120">
            <v>0.25</v>
          </cell>
        </row>
        <row r="121">
          <cell r="A121" t="str">
            <v>2.1.3.15.2.3</v>
          </cell>
          <cell r="B121" t="str">
            <v>COMPS3053</v>
          </cell>
          <cell r="C121" t="str">
            <v>COMPOSIÇÃO</v>
          </cell>
          <cell r="D121" t="str">
            <v xml:space="preserve">J03 - REVISÃO, REPARO, INCLUSIVE RETIRADA DE DOBRADIÇAS, E PINTURA DE JANELA DE MADEIRA EXISTENTE A SER MANTIDA (1,28x2,14/0,90m). DUAS FOLHAS DE GIRO, COM ALMOFADA. COM POSTIGO, VENEZIANA E BANDEIRA COM VIDRO (RETIRAR DOBRADIÇAS DA BANDEIRA, TORNANDO-A FIXA). PINTURA EM ESMALTE SINTÉTICO PARA SUPERFICIES DE MADEIRA, NA COR VERDE COLONIAL, REF.: 674 CORAL OU EQUIVALENTE TÉCNICO, ACABAMENTO ALTO BRILHO. COM FERROLHO DE SOBREPOR (2UN.) E TRANCA DE SOBREPOR (2UN.), DOBRADIÇAS TIPO PINO RETO SIMPLES SEM RODÍZIO. (8UN.). </v>
          </cell>
          <cell r="E121" t="str">
            <v>UND</v>
          </cell>
          <cell r="F121">
            <v>2</v>
          </cell>
          <cell r="G121">
            <v>245.94</v>
          </cell>
          <cell r="H121">
            <v>307.43</v>
          </cell>
          <cell r="I121">
            <v>614.86</v>
          </cell>
          <cell r="J121">
            <v>0.25</v>
          </cell>
        </row>
        <row r="122">
          <cell r="A122" t="str">
            <v>2.1.3.15.2.4</v>
          </cell>
          <cell r="B122" t="str">
            <v>COMPS3054</v>
          </cell>
          <cell r="C122" t="str">
            <v>COMPOSIÇÃO</v>
          </cell>
          <cell r="D122" t="str">
            <v xml:space="preserve">J04 - REVISÃO, REPARO, INCLUSIVE RETIRADA DE DOBRADIÇAS, E PINTURA DE JANELA DE MADEIRA EXISTENTE A SER MANTIDA (1,22x2,14/0,90m). DUAS FOLHAS DE GIRO, COM ALMOFADA. COM POSTIGO, VENEZIANA E BANDEIRA COM VIDRO (RETIRAR DOBRADIÇAS DA BANDEIRA, TORNANDO-A FIXA). PINTURA EM ESMALTE SINTÉTICO PARA SUPERFICIES DE MADEIRA, NA COR VERDE COLONIAL, REF.: 674 CORAL OU EQUIVALENTE TÉCNICO, ACABAMENTO ALTO BRILHO. COM FERROLHO DE SOBREPOR (2UN.) E TRANCA DE SOBREPOR (2UN.), DOBRADIÇAS TIPO PINO RETO SIMPLES SEM RODÍZIO. (8UN.). </v>
          </cell>
          <cell r="E122" t="str">
            <v>UND</v>
          </cell>
          <cell r="F122">
            <v>1</v>
          </cell>
          <cell r="G122">
            <v>235.82</v>
          </cell>
          <cell r="H122">
            <v>294.77999999999997</v>
          </cell>
          <cell r="I122">
            <v>294.77999999999997</v>
          </cell>
          <cell r="J122">
            <v>0.25</v>
          </cell>
        </row>
        <row r="123">
          <cell r="A123" t="str">
            <v>2.1.3.15.2.5</v>
          </cell>
          <cell r="B123" t="str">
            <v>COMPS3055</v>
          </cell>
          <cell r="C123" t="str">
            <v>COMPOSIÇÃO</v>
          </cell>
          <cell r="D123" t="str">
            <v xml:space="preserve">J05 - REVISÃO, REPARO E PINTURA DE JANELA DE MADEIRA EXISTENTE A SER MANTIDA (1,28x2,14/0,93m).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ell>
          <cell r="E123" t="str">
            <v>UND</v>
          </cell>
          <cell r="F123">
            <v>1</v>
          </cell>
          <cell r="G123">
            <v>216.26</v>
          </cell>
          <cell r="H123">
            <v>270.33</v>
          </cell>
          <cell r="I123">
            <v>270.33</v>
          </cell>
          <cell r="J123">
            <v>0.25</v>
          </cell>
        </row>
        <row r="124">
          <cell r="A124" t="str">
            <v>2.1.3.15.2.6</v>
          </cell>
          <cell r="B124" t="str">
            <v>COMPS3056</v>
          </cell>
          <cell r="C124" t="str">
            <v>COMPOSIÇÃO</v>
          </cell>
          <cell r="D124" t="str">
            <v xml:space="preserve">J06 - REVISÃO, REPARO E PINTURA DE  JANELA DE MADEIRA EXISTENTE A SER MANTIDA (1,34x2,14/0,93m).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ell>
          <cell r="E124" t="str">
            <v>UND</v>
          </cell>
          <cell r="F124">
            <v>1</v>
          </cell>
          <cell r="G124">
            <v>226.40999999999997</v>
          </cell>
          <cell r="H124">
            <v>283.01</v>
          </cell>
          <cell r="I124">
            <v>283.01</v>
          </cell>
          <cell r="J124">
            <v>0.25</v>
          </cell>
        </row>
        <row r="125">
          <cell r="A125" t="str">
            <v>2.1.3.15.2.7</v>
          </cell>
          <cell r="B125" t="str">
            <v>COMPS3057</v>
          </cell>
          <cell r="C125" t="str">
            <v>COMPOSIÇÃO</v>
          </cell>
          <cell r="D125" t="str">
            <v xml:space="preserve">J07 - REVISÃO, REPARO E PINTURA DE JANELA DE MADEIRA EXISTENTE A SER MANTIDA (1,38x2,14/0,93m).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ell>
          <cell r="E125" t="str">
            <v>UND</v>
          </cell>
          <cell r="F125">
            <v>1</v>
          </cell>
          <cell r="G125">
            <v>233.16999999999996</v>
          </cell>
          <cell r="H125">
            <v>291.45999999999998</v>
          </cell>
          <cell r="I125">
            <v>291.45999999999998</v>
          </cell>
          <cell r="J125">
            <v>0.25</v>
          </cell>
        </row>
        <row r="126">
          <cell r="A126" t="str">
            <v>2.1.3.15.2.8</v>
          </cell>
          <cell r="B126" t="str">
            <v>COMPS3058</v>
          </cell>
          <cell r="C126" t="str">
            <v>COMPOSIÇÃO</v>
          </cell>
          <cell r="D126" t="str">
            <v xml:space="preserve">J08 - REVISÃO, REPARO E PINTURA DE JANELA DE MADEIRA EXISTENTE A SER MANTIDA (1,32x2,14/0,93m).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ell>
          <cell r="E126" t="str">
            <v>UND</v>
          </cell>
          <cell r="F126">
            <v>1</v>
          </cell>
          <cell r="G126">
            <v>223.01999999999998</v>
          </cell>
          <cell r="H126">
            <v>278.77999999999997</v>
          </cell>
          <cell r="I126">
            <v>278.77999999999997</v>
          </cell>
          <cell r="J126">
            <v>0.25</v>
          </cell>
        </row>
        <row r="127">
          <cell r="A127" t="str">
            <v>2.1.3.15.2.9</v>
          </cell>
          <cell r="B127" t="str">
            <v>COMPS3059</v>
          </cell>
          <cell r="C127" t="str">
            <v>COMPOSIÇÃO</v>
          </cell>
          <cell r="D127" t="str">
            <v xml:space="preserve">J09 - REVISÃO, REPARO E PINTURA DE JANELA DE MADEIRA EXISTENTE A SER MANTIDA (1,29x2,14/0,93m).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ell>
          <cell r="E127" t="str">
            <v>UND</v>
          </cell>
          <cell r="F127">
            <v>2</v>
          </cell>
          <cell r="G127">
            <v>217.95</v>
          </cell>
          <cell r="H127">
            <v>272.44</v>
          </cell>
          <cell r="I127">
            <v>544.88</v>
          </cell>
          <cell r="J127">
            <v>0.25</v>
          </cell>
        </row>
        <row r="128">
          <cell r="A128" t="str">
            <v>2.1.3.15.2.10</v>
          </cell>
          <cell r="B128" t="str">
            <v>COMPS3060</v>
          </cell>
          <cell r="C128" t="str">
            <v>COMPOSIÇÃO</v>
          </cell>
          <cell r="D128" t="str">
            <v xml:space="preserve">J10 - REVISÃO, REPARO, INCLUSIVE RETIRADA DE DOBRADIÇAS, E PINTURA DE JANELA DE MADEIRA EXISTENTE A SER MANTIDA (1,31x2,14/0,93m). DUAS FOLHAS DE GIRO, COM ALMOFADA. COM POSTIGO, VENEZIANA E BANDEIRA COM VIDRO (RETIRAR DOBRADIÇAS DA BANDEIRA, TORNANDO-A FIXA). PINTURA EM ESMALTE SINTÉTICO PARA SUPERFICIES DE MADEIRA, NA COR VERDE COLONIAL, REF.: 674 CORAL OU EQUIVALENTE TÉCNICO, ACABAMENTO ALTO BRILHO. COM FERROLHO DE SOBREPOR (2UN.) E TRANCA DE SOBREPOR (2UN.), DOBRADIÇAS TIPO PINO RETO SIMPLES SEM RODÍZIO. (8UN.). </v>
          </cell>
          <cell r="E128" t="str">
            <v>UND</v>
          </cell>
          <cell r="F128">
            <v>4</v>
          </cell>
          <cell r="G128">
            <v>251.01</v>
          </cell>
          <cell r="H128">
            <v>313.76</v>
          </cell>
          <cell r="I128">
            <v>1255.04</v>
          </cell>
          <cell r="J128">
            <v>0.25</v>
          </cell>
        </row>
        <row r="129">
          <cell r="A129" t="str">
            <v>2.1.3.15.5.1</v>
          </cell>
          <cell r="B129" t="str">
            <v>COMPS3061</v>
          </cell>
          <cell r="C129" t="str">
            <v>COMPOSIÇÃO</v>
          </cell>
          <cell r="D129" t="str">
            <v>V01 - REVISÃO E REPARO DE VÃO DE PASSAGEM (1,55X2,96M) COM GRADE DE MADEIRA, BANDEIRA FIXA DE MADEIRA E VIDRO. INSERIR BACALHAU DE 10CM PARA NIVELAR A GRADE DE MADEIRA DO VÃO COM O PISO, CONFORME DETALHE.</v>
          </cell>
          <cell r="E129" t="str">
            <v>UND</v>
          </cell>
          <cell r="F129">
            <v>2</v>
          </cell>
          <cell r="G129">
            <v>178.87</v>
          </cell>
          <cell r="H129">
            <v>223.59</v>
          </cell>
          <cell r="I129">
            <v>447.18</v>
          </cell>
          <cell r="J129">
            <v>0.25</v>
          </cell>
        </row>
        <row r="130">
          <cell r="A130" t="str">
            <v>2.1.3.15.5.2</v>
          </cell>
          <cell r="B130" t="str">
            <v>COMPS3062</v>
          </cell>
          <cell r="C130" t="str">
            <v>COMPOSIÇÃO</v>
          </cell>
          <cell r="D130" t="str">
            <v>V02 - FORNECIMENTO E INSTALAÇÃO DE CHAPIM DE MADEIRA, TIPO IPÊ, E=2,0CM E L=15CM, PINTADA COM STAIN ACETINADO INCOLOR - DIMENSÕES 0,15 X 22,64M, A SER FIXADO NOS VÃOS DAS PAREDES DO BLOCO ANEXO EM GERAL.</v>
          </cell>
          <cell r="E130" t="str">
            <v>UND</v>
          </cell>
          <cell r="F130">
            <v>1</v>
          </cell>
          <cell r="G130">
            <v>716.55</v>
          </cell>
          <cell r="H130">
            <v>895.69</v>
          </cell>
          <cell r="I130">
            <v>895.69</v>
          </cell>
          <cell r="J130">
            <v>0.25</v>
          </cell>
        </row>
        <row r="131">
          <cell r="A131" t="str">
            <v>2.1.1.5.1</v>
          </cell>
          <cell r="B131" t="str">
            <v>COMPS3063</v>
          </cell>
          <cell r="C131" t="str">
            <v>COMPOSIÇÃO</v>
          </cell>
          <cell r="D131" t="str">
            <v>RETIRADA DE BANCADA EM GRANITO/AÇO INOX</v>
          </cell>
          <cell r="E131" t="str">
            <v>M</v>
          </cell>
          <cell r="F131">
            <v>1.6</v>
          </cell>
          <cell r="G131">
            <v>5.64</v>
          </cell>
          <cell r="H131">
            <v>7.05</v>
          </cell>
          <cell r="I131">
            <v>11.28</v>
          </cell>
          <cell r="J131">
            <v>0.25</v>
          </cell>
        </row>
        <row r="132">
          <cell r="A132" t="str">
            <v>2.1.1.10.1</v>
          </cell>
          <cell r="B132" t="str">
            <v>COMPS3063</v>
          </cell>
          <cell r="C132" t="str">
            <v>COMPOSIÇÃO</v>
          </cell>
          <cell r="D132" t="str">
            <v>RETIRADA DE BANCADA EM GRANITO/AÇO INOX</v>
          </cell>
          <cell r="E132" t="str">
            <v>M</v>
          </cell>
          <cell r="F132">
            <v>3.01</v>
          </cell>
          <cell r="G132">
            <v>5.64</v>
          </cell>
          <cell r="H132">
            <v>7.05</v>
          </cell>
          <cell r="I132">
            <v>21.22</v>
          </cell>
          <cell r="J132">
            <v>0.25</v>
          </cell>
        </row>
        <row r="133">
          <cell r="A133" t="str">
            <v>2.1.1.5.2</v>
          </cell>
          <cell r="B133" t="str">
            <v>COMPS3064</v>
          </cell>
          <cell r="C133" t="str">
            <v>COMPOSIÇÃO</v>
          </cell>
          <cell r="D133" t="str">
            <v>RETIRADA DE PIA E/OU TANQUE</v>
          </cell>
          <cell r="E133" t="str">
            <v>UND</v>
          </cell>
          <cell r="F133">
            <v>1</v>
          </cell>
          <cell r="G133">
            <v>7.870000000000001</v>
          </cell>
          <cell r="H133">
            <v>9.84</v>
          </cell>
          <cell r="I133">
            <v>9.84</v>
          </cell>
          <cell r="J133">
            <v>0.25</v>
          </cell>
        </row>
        <row r="134">
          <cell r="A134" t="str">
            <v>2.1.1.6.1</v>
          </cell>
          <cell r="B134" t="str">
            <v>COMPS3065</v>
          </cell>
          <cell r="C134" t="str">
            <v>COMPOSIÇÃO</v>
          </cell>
          <cell r="D134" t="str">
            <v>RETIRADA DE CORRIMÃO EM TUBO DE FERRO 1.3/4"</v>
          </cell>
          <cell r="E134" t="str">
            <v>M</v>
          </cell>
          <cell r="F134">
            <v>4.67</v>
          </cell>
          <cell r="G134">
            <v>23</v>
          </cell>
          <cell r="H134">
            <v>28.75</v>
          </cell>
          <cell r="I134">
            <v>134.26</v>
          </cell>
          <cell r="J134">
            <v>0.25</v>
          </cell>
        </row>
        <row r="135">
          <cell r="A135" t="str">
            <v>2.1.1.7.3</v>
          </cell>
          <cell r="B135" t="str">
            <v>COMPS3066</v>
          </cell>
          <cell r="C135" t="str">
            <v>COMPOSIÇÃO</v>
          </cell>
          <cell r="D135" t="str">
            <v>RETIRADA DE GRADE DE FERRO</v>
          </cell>
          <cell r="E135" t="str">
            <v>M2</v>
          </cell>
          <cell r="F135">
            <v>6.42</v>
          </cell>
          <cell r="G135">
            <v>5.42</v>
          </cell>
          <cell r="H135">
            <v>6.78</v>
          </cell>
          <cell r="I135">
            <v>43.53</v>
          </cell>
          <cell r="J135">
            <v>0.25</v>
          </cell>
        </row>
        <row r="136">
          <cell r="A136" t="str">
            <v>2.1.1.7.4</v>
          </cell>
          <cell r="B136" t="str">
            <v>COMPS3067</v>
          </cell>
          <cell r="C136" t="str">
            <v>COMPOSIÇÃO</v>
          </cell>
          <cell r="D136" t="str">
            <v>RETIRADA DE GRADIL DE FERRO</v>
          </cell>
          <cell r="E136" t="str">
            <v>M2</v>
          </cell>
          <cell r="F136">
            <v>29.48</v>
          </cell>
          <cell r="G136">
            <v>6.13</v>
          </cell>
          <cell r="H136">
            <v>7.66</v>
          </cell>
          <cell r="I136">
            <v>225.82</v>
          </cell>
          <cell r="J136">
            <v>0.25</v>
          </cell>
        </row>
        <row r="137">
          <cell r="A137" t="str">
            <v>2.1.1.9.1</v>
          </cell>
          <cell r="B137" t="str">
            <v>COMPS3068</v>
          </cell>
          <cell r="C137" t="str">
            <v>COMPOSIÇÃO</v>
          </cell>
          <cell r="D137" t="str">
            <v>RETIRADA DE CAIXA D'ÁGUA DE FIBROCIMENTO</v>
          </cell>
          <cell r="E137" t="str">
            <v>UND</v>
          </cell>
          <cell r="F137">
            <v>1</v>
          </cell>
          <cell r="G137">
            <v>81.240000000000009</v>
          </cell>
          <cell r="H137">
            <v>101.55</v>
          </cell>
          <cell r="I137">
            <v>101.55</v>
          </cell>
          <cell r="J137">
            <v>0.25</v>
          </cell>
        </row>
        <row r="138">
          <cell r="A138" t="str">
            <v>2.1.1.9.2</v>
          </cell>
          <cell r="B138" t="str">
            <v>COMPS3069</v>
          </cell>
          <cell r="C138" t="str">
            <v>COMPOSIÇÃO</v>
          </cell>
          <cell r="D138" t="str">
            <v>RETIRADA DE TUBO DE PVC DE 1/2"A 4"</v>
          </cell>
          <cell r="E138" t="str">
            <v>M</v>
          </cell>
          <cell r="F138">
            <v>9.31</v>
          </cell>
          <cell r="G138">
            <v>3.4</v>
          </cell>
          <cell r="H138">
            <v>4.25</v>
          </cell>
          <cell r="I138">
            <v>39.57</v>
          </cell>
          <cell r="J138">
            <v>0.25</v>
          </cell>
        </row>
        <row r="139">
          <cell r="A139" t="str">
            <v>2.1.1.9.3</v>
          </cell>
          <cell r="B139" t="str">
            <v>COMPS3070</v>
          </cell>
          <cell r="C139" t="str">
            <v>COMPOSIÇÃO</v>
          </cell>
          <cell r="D139" t="str">
            <v>RETIRADA DE QUADRO ELÉTRICO</v>
          </cell>
          <cell r="E139" t="str">
            <v>UND</v>
          </cell>
          <cell r="F139">
            <v>8</v>
          </cell>
          <cell r="G139">
            <v>50.65</v>
          </cell>
          <cell r="H139">
            <v>63.31</v>
          </cell>
          <cell r="I139">
            <v>506.48</v>
          </cell>
          <cell r="J139">
            <v>0.25</v>
          </cell>
        </row>
        <row r="140">
          <cell r="A140" t="str">
            <v>2.1.1.9.5</v>
          </cell>
          <cell r="B140" t="str">
            <v>COMPS3071</v>
          </cell>
          <cell r="C140" t="str">
            <v>COMPOSIÇÃO</v>
          </cell>
          <cell r="D140" t="str">
            <v>RETIRADA DE CAIXA DE AR CONDICIONADO</v>
          </cell>
          <cell r="E140" t="str">
            <v>UND</v>
          </cell>
          <cell r="F140">
            <v>10</v>
          </cell>
          <cell r="G140">
            <v>56.91</v>
          </cell>
          <cell r="H140">
            <v>71.14</v>
          </cell>
          <cell r="I140">
            <v>711.4</v>
          </cell>
          <cell r="J140">
            <v>0.25</v>
          </cell>
        </row>
        <row r="141">
          <cell r="A141" t="str">
            <v>2.1.1.9.6</v>
          </cell>
          <cell r="B141" t="str">
            <v>COMPS3072</v>
          </cell>
          <cell r="C141" t="str">
            <v>COMPOSIÇÃO</v>
          </cell>
          <cell r="D141" t="str">
            <v>RETIRADA DE ESTÁTUA DECORATIVA PARA JARDIM</v>
          </cell>
          <cell r="E141" t="str">
            <v>UND</v>
          </cell>
          <cell r="F141">
            <v>1</v>
          </cell>
          <cell r="G141">
            <v>25.799999999999997</v>
          </cell>
          <cell r="H141">
            <v>32.25</v>
          </cell>
          <cell r="I141">
            <v>32.25</v>
          </cell>
          <cell r="J141">
            <v>0.25</v>
          </cell>
        </row>
        <row r="142">
          <cell r="A142" t="str">
            <v>2.1.3.1.2.6</v>
          </cell>
          <cell r="B142" t="str">
            <v>COMPS3073</v>
          </cell>
          <cell r="C142" t="str">
            <v>COMPOSIÇÃO</v>
          </cell>
          <cell r="D142" t="str">
            <v>EXECUÇÃO DE PISO CIMENTADO TRACO 1:3 (CIMENTO E AREIA) COM ACABAMENTO LISO ESPESSURA 2,0CM COM JUNTAS PLASTICAS DE DILATACAO E PREPARO MANUAL DA ARGAMASSA</v>
          </cell>
          <cell r="E142" t="str">
            <v>M2</v>
          </cell>
          <cell r="F142">
            <v>23.74</v>
          </cell>
          <cell r="G142">
            <v>44.449999999999996</v>
          </cell>
          <cell r="H142">
            <v>55.56</v>
          </cell>
          <cell r="I142">
            <v>1318.99</v>
          </cell>
          <cell r="J142">
            <v>0.25</v>
          </cell>
        </row>
        <row r="143">
          <cell r="A143" t="str">
            <v>2.1.3.6.6</v>
          </cell>
          <cell r="B143" t="str">
            <v>COMPS3075</v>
          </cell>
          <cell r="C143" t="str">
            <v>COMPOSIÇÃO</v>
          </cell>
          <cell r="D143" t="str">
            <v>FORNECIMENTO E COLOCAÇÃO DE PISO EM PEDRA GRANÍTICA CINZA ANDORINHA, E=2cm, ACABAMENTO APICOADO, CONFORME PROJETO.</v>
          </cell>
          <cell r="E143" t="str">
            <v>M2</v>
          </cell>
          <cell r="F143">
            <v>3.27</v>
          </cell>
          <cell r="G143">
            <v>183.26000000000002</v>
          </cell>
          <cell r="H143">
            <v>229.08</v>
          </cell>
          <cell r="I143">
            <v>749.09</v>
          </cell>
          <cell r="J143">
            <v>0.25</v>
          </cell>
        </row>
        <row r="144">
          <cell r="A144" t="str">
            <v>2.1.3.6.7</v>
          </cell>
          <cell r="B144" t="str">
            <v>COMPS3076</v>
          </cell>
          <cell r="C144" t="str">
            <v>COMPOSIÇÃO</v>
          </cell>
          <cell r="D144" t="str">
            <v>FORNECIMENTO E COLOCAÇÃO DE SOLEIRA EM PEDRA GRANÍTICA CINZA ANDORINHA, L= 31cm E=2cm, ACABAMENTO APICOADO, CONFORME PROJETO.</v>
          </cell>
          <cell r="E144" t="str">
            <v>M</v>
          </cell>
          <cell r="F144">
            <v>4</v>
          </cell>
          <cell r="G144">
            <v>83.08</v>
          </cell>
          <cell r="H144">
            <v>103.85</v>
          </cell>
          <cell r="I144">
            <v>415.4</v>
          </cell>
          <cell r="J144">
            <v>0.25</v>
          </cell>
        </row>
        <row r="145">
          <cell r="A145" t="str">
            <v>2.1.3.6.8</v>
          </cell>
          <cell r="B145" t="str">
            <v>COMPS3077</v>
          </cell>
          <cell r="C145" t="str">
            <v>COMPOSIÇÃO</v>
          </cell>
          <cell r="D145" t="str">
            <v>FORNECIMENTO E COLOCAÇÃO DE SOLEIRA EM PEDRA GRANÍTICA CINZA ANDORINHA, L= 23cm E=2cm, ACABAMENTO APICOADO, CONFORME PROJETO.</v>
          </cell>
          <cell r="E145" t="str">
            <v>M</v>
          </cell>
          <cell r="F145">
            <v>2.9</v>
          </cell>
          <cell r="G145">
            <v>61.9</v>
          </cell>
          <cell r="H145">
            <v>77.38</v>
          </cell>
          <cell r="I145">
            <v>224.4</v>
          </cell>
          <cell r="J145">
            <v>0.25</v>
          </cell>
        </row>
        <row r="146">
          <cell r="A146" t="str">
            <v>2.1.3.6.11</v>
          </cell>
          <cell r="B146" t="str">
            <v>COMPS3078</v>
          </cell>
          <cell r="C146" t="str">
            <v>COMPOSIÇÃO</v>
          </cell>
          <cell r="D146" t="str">
            <v>FORNECIMENTO E COLOCAÇÃO DE DEGRAU DE PEDRA GRANÍTICA CINZA ANDORINHA, L= 28,5cm E=2cm, ACABAMENTO APICOADO</v>
          </cell>
          <cell r="E146" t="str">
            <v>M</v>
          </cell>
          <cell r="F146">
            <v>1.58</v>
          </cell>
          <cell r="G146">
            <v>113.60000000000001</v>
          </cell>
          <cell r="H146">
            <v>142</v>
          </cell>
          <cell r="I146">
            <v>224.36</v>
          </cell>
          <cell r="J146">
            <v>0.25</v>
          </cell>
        </row>
        <row r="147">
          <cell r="A147" t="str">
            <v>2.1.3.14.1</v>
          </cell>
          <cell r="B147" t="str">
            <v>COMPS3079</v>
          </cell>
          <cell r="C147" t="str">
            <v>COMPOSIÇÃO</v>
          </cell>
          <cell r="D147" t="str">
            <v>REVISÃO, LIMPEZA E RECOMPOSIÇÃO DE DEGRAUS DE MADEIRA E=3cm, 24 UND. EXISTENTE A SER MANTIDO.</v>
          </cell>
          <cell r="E147" t="str">
            <v>M2</v>
          </cell>
          <cell r="F147">
            <v>12.94</v>
          </cell>
          <cell r="G147">
            <v>138.43</v>
          </cell>
          <cell r="H147">
            <v>173.04</v>
          </cell>
          <cell r="I147">
            <v>2239.14</v>
          </cell>
          <cell r="J147">
            <v>0.25</v>
          </cell>
        </row>
        <row r="148">
          <cell r="A148" t="str">
            <v>2.1.3.15.2.11</v>
          </cell>
          <cell r="B148" t="str">
            <v>COMPS3080</v>
          </cell>
          <cell r="C148" t="str">
            <v>COMPOSIÇÃO</v>
          </cell>
          <cell r="D148" t="str">
            <v>FORNECIMENTO E INSTALAÇÃO DE ESQUADRIA EM FOLHA FIXA DE VIDRO TEMPERADO 6mm, (1,00x1,73/0,40m) ACABAMENTO TRANSLÚCIDO, FIXADO EM PERFIS DE ALUMÍNIO COM ACABAMENTO EM PINTURA ELETROSTÁTICA BRANCO.</v>
          </cell>
          <cell r="E148" t="str">
            <v>UND</v>
          </cell>
          <cell r="F148">
            <v>2</v>
          </cell>
          <cell r="G148">
            <v>1718.79</v>
          </cell>
          <cell r="H148">
            <v>2148.4899999999998</v>
          </cell>
          <cell r="I148">
            <v>4296.9799999999996</v>
          </cell>
          <cell r="J148">
            <v>0.25</v>
          </cell>
        </row>
        <row r="149">
          <cell r="A149" t="str">
            <v>2.1.3.15.2.12</v>
          </cell>
          <cell r="B149" t="str">
            <v>COMPS3081</v>
          </cell>
          <cell r="C149" t="str">
            <v>COMPOSIÇÃO</v>
          </cell>
          <cell r="D149" t="str">
            <v>FORNECIMENTO E INSTALAÇÃO DE ESQUADRIA EM FOLHA FIXA DE VIDRO TEMPERADO 6mm, (0,86x1,73/0,40m) ACABAMENTO TRANSLÚCIDO, FIXADO EM PERFIS DE ALUMÍNIO COM ACABAMENTO EM PINTURA ELETROSTÁTICA BRANCO.</v>
          </cell>
          <cell r="E149" t="str">
            <v>UND</v>
          </cell>
          <cell r="F149">
            <v>1</v>
          </cell>
          <cell r="G149">
            <v>1710.8</v>
          </cell>
          <cell r="H149">
            <v>2138.5</v>
          </cell>
          <cell r="I149">
            <v>2138.5</v>
          </cell>
          <cell r="J149">
            <v>0.25</v>
          </cell>
        </row>
        <row r="150">
          <cell r="A150" t="str">
            <v>2.1.3.15.2.13</v>
          </cell>
          <cell r="B150" t="str">
            <v>COMPS3082</v>
          </cell>
          <cell r="C150" t="str">
            <v>COMPOSIÇÃO</v>
          </cell>
          <cell r="D150" t="str">
            <v>FORNECIMENTO E INSTALAÇÃO DE ESQUADRIA EM FOLHA FIXA DE VIDRO TEMPERADO 6mm, (0,78x1,73/0,40m) ACABAMENTO TRANSLÚCIDO, FIXADO EM PERFIS DE ALUMÍNIO COM ACABAMENTO EM PINTURA ELETROSTÁTICA BRANCO.</v>
          </cell>
          <cell r="E150" t="str">
            <v>UND</v>
          </cell>
          <cell r="F150">
            <v>1</v>
          </cell>
          <cell r="G150">
            <v>1706.24</v>
          </cell>
          <cell r="H150">
            <v>2132.8000000000002</v>
          </cell>
          <cell r="I150">
            <v>2132.8000000000002</v>
          </cell>
          <cell r="J150">
            <v>0.25</v>
          </cell>
        </row>
        <row r="151">
          <cell r="A151" t="str">
            <v>2.1.3.15.2.14</v>
          </cell>
          <cell r="B151" t="str">
            <v>COMPS3083</v>
          </cell>
          <cell r="C151" t="str">
            <v>COMPOSIÇÃO</v>
          </cell>
          <cell r="D151" t="str">
            <v>FORNECIMENTO E INSTALAÇÃO DE ESQUADRIA EM FOLHA FIXA DE VIDRO TEMPERADO 6mm, (1,00x1,70/0,48m) ACABAMENTO TRANSLÚCIDO, FIXADO EM PERFIS DE ALUMÍNIO COM ACABAMENTO EM PINTURA ELETROSTÁTICA BRANCO.</v>
          </cell>
          <cell r="E151" t="str">
            <v>UND</v>
          </cell>
          <cell r="F151">
            <v>3</v>
          </cell>
          <cell r="G151">
            <v>1718.79</v>
          </cell>
          <cell r="H151">
            <v>2148.4899999999998</v>
          </cell>
          <cell r="I151">
            <v>6445.47</v>
          </cell>
          <cell r="J151">
            <v>0.25</v>
          </cell>
        </row>
        <row r="152">
          <cell r="A152" t="str">
            <v>2.1.3.15.2.15</v>
          </cell>
          <cell r="B152" t="str">
            <v>COMPS3084</v>
          </cell>
          <cell r="C152" t="str">
            <v>COMPOSIÇÃO</v>
          </cell>
          <cell r="D152" t="str">
            <v>FORNECIMENTO E INSTALAÇÃO DE ESQUADRIA EM FOLHA FIXA DE VIDRO TEMPERADO 6mm, (0,90x1,70/0,48m) ACABAMENTO TRANSLÚCIDO, FIXADO EM PERFIS DE ALUMÍNIO COM ACABAMENTO EM PINTURA ELETROSTÁTICA BRANCO.</v>
          </cell>
          <cell r="E152" t="str">
            <v>UND</v>
          </cell>
          <cell r="F152">
            <v>1</v>
          </cell>
          <cell r="G152">
            <v>1713.09</v>
          </cell>
          <cell r="H152">
            <v>2141.36</v>
          </cell>
          <cell r="I152">
            <v>2141.36</v>
          </cell>
          <cell r="J152">
            <v>0.25</v>
          </cell>
        </row>
        <row r="153">
          <cell r="A153" t="str">
            <v>2.1.1.8.1</v>
          </cell>
          <cell r="B153" t="str">
            <v>COMPS3086</v>
          </cell>
          <cell r="C153" t="str">
            <v>COMPOSIÇÃO</v>
          </cell>
          <cell r="D153" t="str">
            <v>DEMOLIÇÃO DE ESCADA DE ALVENARIA</v>
          </cell>
          <cell r="E153" t="str">
            <v>M3</v>
          </cell>
          <cell r="F153">
            <v>9.65</v>
          </cell>
          <cell r="G153">
            <v>30.65</v>
          </cell>
          <cell r="H153">
            <v>38.31</v>
          </cell>
          <cell r="I153">
            <v>369.69</v>
          </cell>
          <cell r="J153">
            <v>0.25</v>
          </cell>
        </row>
        <row r="154">
          <cell r="A154" t="str">
            <v>2.1.2.1.1</v>
          </cell>
          <cell r="B154" t="str">
            <v>COMPS3087</v>
          </cell>
          <cell r="C154" t="str">
            <v>COMPOSIÇÃO</v>
          </cell>
          <cell r="D154" t="str">
            <v>RECONSOLIDAÇÃO DE ELEMENTO ESTRUTURAL - RACHADURA DE PISO EM GRANILITE</v>
          </cell>
          <cell r="E154" t="str">
            <v>M</v>
          </cell>
          <cell r="F154">
            <v>8.68</v>
          </cell>
          <cell r="G154">
            <v>13.790000000000001</v>
          </cell>
          <cell r="H154">
            <v>17.239999999999998</v>
          </cell>
          <cell r="I154">
            <v>149.63999999999999</v>
          </cell>
          <cell r="J154">
            <v>0.25</v>
          </cell>
        </row>
        <row r="155">
          <cell r="A155" t="str">
            <v>2.1.2.2.1</v>
          </cell>
          <cell r="B155" t="str">
            <v>COMPS3088</v>
          </cell>
          <cell r="C155" t="str">
            <v>COMPOSIÇÃO</v>
          </cell>
          <cell r="D155" t="str">
            <v>RECONSOLIDAÇÃO DE REBOCO DESCOLADO (COM ARGAMASSA DE CAL E AREIA COM 5% DE CIMENTO NO TRAÇO DE 1:3 SEM APLICAÇÃO DE CHAPISCO)</v>
          </cell>
          <cell r="E155" t="str">
            <v>M2</v>
          </cell>
          <cell r="F155">
            <v>3.75</v>
          </cell>
          <cell r="G155">
            <v>15</v>
          </cell>
          <cell r="H155">
            <v>18.75</v>
          </cell>
          <cell r="I155">
            <v>70.31</v>
          </cell>
          <cell r="J155">
            <v>0.25</v>
          </cell>
        </row>
        <row r="156">
          <cell r="A156" t="str">
            <v>2.1.3.3.2.5</v>
          </cell>
          <cell r="B156" t="str">
            <v>COMPS3088</v>
          </cell>
          <cell r="C156" t="str">
            <v>COMPOSIÇÃO</v>
          </cell>
          <cell r="D156" t="str">
            <v>RECONSOLIDAÇÃO DE REBOCO DESCOLADO (COM ARGAMASSA DE CAL E AREIA COM 5% DE CIMENTO NO TRAÇO DE 1:3 SEM APLICAÇÃO DE CHAPISCO)</v>
          </cell>
          <cell r="E156" t="str">
            <v>M2</v>
          </cell>
          <cell r="F156">
            <v>112.04</v>
          </cell>
          <cell r="G156">
            <v>15</v>
          </cell>
          <cell r="H156">
            <v>18.75</v>
          </cell>
          <cell r="I156">
            <v>2100.75</v>
          </cell>
          <cell r="J156">
            <v>0.25</v>
          </cell>
        </row>
        <row r="157">
          <cell r="A157" t="str">
            <v>2.1.2.4.1</v>
          </cell>
          <cell r="B157" t="str">
            <v>COMPS3092</v>
          </cell>
          <cell r="C157" t="str">
            <v>COMPOSIÇÃO</v>
          </cell>
          <cell r="D157" t="str">
            <v>RECOLOCAÇÃO DA PEÇA NO LOCAL - ARANDELA</v>
          </cell>
          <cell r="E157" t="str">
            <v>UND</v>
          </cell>
          <cell r="F157">
            <v>1</v>
          </cell>
          <cell r="G157">
            <v>40.569999999999993</v>
          </cell>
          <cell r="H157">
            <v>50.71</v>
          </cell>
          <cell r="I157">
            <v>50.71</v>
          </cell>
          <cell r="J157">
            <v>0.25</v>
          </cell>
        </row>
        <row r="158">
          <cell r="A158" t="str">
            <v>2.1.2.4.2</v>
          </cell>
          <cell r="B158" t="str">
            <v>COMPS3093</v>
          </cell>
          <cell r="C158" t="str">
            <v>COMPOSIÇÃO</v>
          </cell>
          <cell r="D158" t="str">
            <v>PLANO DE LIMPEZA E CONSERVAÇÃO - GERAL</v>
          </cell>
          <cell r="E158" t="str">
            <v>UND</v>
          </cell>
          <cell r="F158">
            <v>1</v>
          </cell>
          <cell r="G158">
            <v>16183.2</v>
          </cell>
          <cell r="H158">
            <v>20229</v>
          </cell>
          <cell r="I158">
            <v>20229</v>
          </cell>
          <cell r="J158">
            <v>0.25</v>
          </cell>
        </row>
        <row r="159">
          <cell r="A159" t="str">
            <v>2.1.3.3.2.9</v>
          </cell>
          <cell r="B159" t="str">
            <v>COMPS3096</v>
          </cell>
          <cell r="C159" t="str">
            <v>COMPOSIÇÃO</v>
          </cell>
          <cell r="D159" t="str">
            <v>RECONSOLIDAÇÃO DE REBOCO DESCOLADO COM EXPOSIÇÃO DE FERRAGEM - PLATIBANDA (COM ARGAMASSA NO TRAÇO DE 1:4)</v>
          </cell>
          <cell r="E159" t="str">
            <v>M2</v>
          </cell>
          <cell r="F159">
            <v>7.45</v>
          </cell>
          <cell r="G159">
            <v>23.17</v>
          </cell>
          <cell r="H159">
            <v>28.96</v>
          </cell>
          <cell r="I159">
            <v>215.75</v>
          </cell>
          <cell r="J159">
            <v>0.25</v>
          </cell>
        </row>
        <row r="160">
          <cell r="A160" t="str">
            <v>2.1.3.3.2.6</v>
          </cell>
          <cell r="B160" t="str">
            <v>COMPS3098</v>
          </cell>
          <cell r="C160" t="str">
            <v>COMPOSIÇÃO</v>
          </cell>
          <cell r="D160" t="str">
            <v>FORNECIMENTO E COLOCAÇÃO DE TELA DE CHAPA EXPANDIDA PARA ESTUQUE TIPO STANDARD</v>
          </cell>
          <cell r="E160" t="str">
            <v>M2</v>
          </cell>
          <cell r="F160">
            <v>60</v>
          </cell>
          <cell r="G160">
            <v>4.41</v>
          </cell>
          <cell r="H160">
            <v>5.51</v>
          </cell>
          <cell r="I160">
            <v>330.6</v>
          </cell>
          <cell r="J160">
            <v>0.25</v>
          </cell>
        </row>
        <row r="161">
          <cell r="A161" t="str">
            <v>2.1.3.3.2.7</v>
          </cell>
          <cell r="B161" t="str">
            <v>COMPS3099</v>
          </cell>
          <cell r="C161" t="str">
            <v>COMPOSIÇÃO</v>
          </cell>
          <cell r="D161" t="str">
            <v xml:space="preserve">FORNECIMENTO E COLOCAÇÃO DE CAIBRO DE MADEIRA IPE APARELHADA 2 1/2" x 1 1/2" </v>
          </cell>
          <cell r="E161" t="str">
            <v>M</v>
          </cell>
          <cell r="F161">
            <v>461.86</v>
          </cell>
          <cell r="G161">
            <v>12.19</v>
          </cell>
          <cell r="H161">
            <v>15.24</v>
          </cell>
          <cell r="I161">
            <v>7038.75</v>
          </cell>
          <cell r="J161">
            <v>0.25</v>
          </cell>
        </row>
        <row r="162">
          <cell r="A162" t="str">
            <v>2.1.3.3.2.8</v>
          </cell>
          <cell r="B162" t="str">
            <v>COMPS3100</v>
          </cell>
          <cell r="C162" t="str">
            <v>COMPOSIÇÃO</v>
          </cell>
          <cell r="D162" t="str">
            <v>FORNECIMENTO E COLOCAÇÃO DE RIPA DE MADEIRA IPE APARELHADA 1CM x 5CM</v>
          </cell>
          <cell r="E162" t="str">
            <v>M</v>
          </cell>
          <cell r="F162">
            <v>813.68</v>
          </cell>
          <cell r="G162">
            <v>4.1400000000000006</v>
          </cell>
          <cell r="H162">
            <v>5.18</v>
          </cell>
          <cell r="I162">
            <v>4214.8599999999997</v>
          </cell>
          <cell r="J162">
            <v>0.25</v>
          </cell>
        </row>
        <row r="163">
          <cell r="A163" t="str">
            <v>2.1.3.7.1</v>
          </cell>
          <cell r="B163" t="str">
            <v>COMPS3101</v>
          </cell>
          <cell r="C163" t="str">
            <v>COMPOSIÇÃO</v>
          </cell>
          <cell r="D163" t="str">
            <v>FORNECIMENTO E MONTAGEM DE DIVISÓRIA EM VIDRO TEMPERADO (2,40X0,30)M, ACABAMENTO TRANSLÚCIDO, E=8MM, FIXADA EM PERFIL BAGUETE PARA VIDRO SOBRE MONTANTE DE ALUMÍNIO E TARUCEL, DIVISYSTEM OU EQUIVALENTE TÉCNICO.</v>
          </cell>
          <cell r="E163" t="str">
            <v>M2</v>
          </cell>
          <cell r="F163">
            <v>0.72</v>
          </cell>
          <cell r="G163">
            <v>171.74000000000004</v>
          </cell>
          <cell r="H163">
            <v>214.68</v>
          </cell>
          <cell r="I163">
            <v>154.57</v>
          </cell>
          <cell r="J163">
            <v>0.25</v>
          </cell>
        </row>
        <row r="164">
          <cell r="A164" t="str">
            <v>2.1.2.3.1</v>
          </cell>
          <cell r="B164" t="str">
            <v>COMPS3102</v>
          </cell>
          <cell r="C164" t="str">
            <v>COMPOSIÇÃO</v>
          </cell>
          <cell r="D164" t="str">
            <v>REFAZIMENTO PEÇA EM ARGAMASSA DE CAL E AREIA COM 5% DE CIMENTO COM FORMA DE SILICONE E ASSENTAMENTO NO LOCAL - CAPITEL (RESTAURO)</v>
          </cell>
          <cell r="E164" t="str">
            <v>M2</v>
          </cell>
          <cell r="F164">
            <v>0.43</v>
          </cell>
          <cell r="G164">
            <v>289.08</v>
          </cell>
          <cell r="H164">
            <v>361.35</v>
          </cell>
          <cell r="I164">
            <v>155.38</v>
          </cell>
          <cell r="J164">
            <v>0.25</v>
          </cell>
        </row>
        <row r="165">
          <cell r="A165" t="str">
            <v>2.1.2.3.2</v>
          </cell>
          <cell r="B165" t="str">
            <v>COMPS3103</v>
          </cell>
          <cell r="C165" t="str">
            <v>COMPOSIÇÃO</v>
          </cell>
          <cell r="D165" t="str">
            <v>INJEÇÃO DE NATA DE CAL COM CARACTERÍSTICA PASTOSA APLICADA COM SERINGA PLÁSTICA PARA PREENCHIMENTO DE FISSURAS - CAPITEL (RESTAURO)</v>
          </cell>
          <cell r="E165" t="str">
            <v>M2</v>
          </cell>
          <cell r="F165">
            <v>0.43</v>
          </cell>
          <cell r="G165">
            <v>343.78999999999996</v>
          </cell>
          <cell r="H165">
            <v>429.74</v>
          </cell>
          <cell r="I165">
            <v>184.79</v>
          </cell>
          <cell r="J165">
            <v>0.25</v>
          </cell>
        </row>
        <row r="166">
          <cell r="A166" t="str">
            <v>2.1.2.3.3</v>
          </cell>
          <cell r="B166" t="str">
            <v>COMPS3104</v>
          </cell>
          <cell r="C166" t="str">
            <v>COMPOSIÇÃO</v>
          </cell>
          <cell r="D166" t="str">
            <v>PREENCHIMENTO COM CACOS DE CERÂMICA E POSTERIOR APLICAÇÃO DE ARGAMASSA - CORNIJA (RESTAURO)</v>
          </cell>
          <cell r="E166" t="str">
            <v>M2</v>
          </cell>
          <cell r="F166">
            <v>0.27</v>
          </cell>
          <cell r="G166">
            <v>181.72</v>
          </cell>
          <cell r="H166">
            <v>227.15</v>
          </cell>
          <cell r="I166">
            <v>61.33</v>
          </cell>
          <cell r="J166">
            <v>0.25</v>
          </cell>
        </row>
        <row r="167">
          <cell r="A167" t="str">
            <v>2.2.4.1</v>
          </cell>
          <cell r="B167" t="str">
            <v>COTIS12006</v>
          </cell>
          <cell r="C167" t="str">
            <v>COTAÇÃO</v>
          </cell>
          <cell r="D167" t="str">
            <v>FORNECIMENTO DE BANCO VITÓRIA, COM ESTRUTURA EM TUBO "OBLONGO". ASSENTO E ENCOSTO EM MADEIRA DE LEI TRATADA E ENVERNIZADA. C= 1.70M. REF. BC057 DO FABRICANTE GOLONI OU EQUIVALENTE TÉCNICO</v>
          </cell>
          <cell r="E167" t="str">
            <v>UN</v>
          </cell>
          <cell r="F167">
            <v>11</v>
          </cell>
          <cell r="G167">
            <v>1552.0206594997508</v>
          </cell>
          <cell r="H167">
            <v>1812.76</v>
          </cell>
          <cell r="I167">
            <v>19940.36</v>
          </cell>
          <cell r="J167">
            <v>0.16800000000000001</v>
          </cell>
        </row>
        <row r="168">
          <cell r="A168" t="str">
            <v>2.1.3.8.4</v>
          </cell>
          <cell r="B168" t="str">
            <v>COTIS3039</v>
          </cell>
          <cell r="C168" t="str">
            <v>COTAÇÃO</v>
          </cell>
          <cell r="D168" t="str">
            <v>FORNECIMENTO DE LIXEIRA INOX COM ARO INOX, Ø 25x46cm, SEM TAMPA, LINHA DECORLINE, BRINOX OU EQUIVALENTE TÉCNICO.</v>
          </cell>
          <cell r="E168" t="str">
            <v>UND</v>
          </cell>
          <cell r="F168">
            <v>2</v>
          </cell>
          <cell r="G168">
            <v>119.65372000440698</v>
          </cell>
          <cell r="H168">
            <v>139.76</v>
          </cell>
          <cell r="I168">
            <v>279.52</v>
          </cell>
          <cell r="J168">
            <v>0.16800000000000001</v>
          </cell>
        </row>
        <row r="169">
          <cell r="A169" t="str">
            <v>2.1.3.8.5</v>
          </cell>
          <cell r="B169" t="str">
            <v>COTIS3040</v>
          </cell>
          <cell r="C169" t="str">
            <v>COTAÇÃO</v>
          </cell>
          <cell r="D169" t="str">
            <v>FORNECIMENTO DE LIXEIRA INOX COM ARO PRETO, Ø 30x70cm, SEM TAMPA, LINHA DECORLINE, BRINOX OU EQUIVALENTE TÉCNICO.</v>
          </cell>
          <cell r="E169" t="str">
            <v>UND</v>
          </cell>
          <cell r="F169">
            <v>6</v>
          </cell>
          <cell r="G169">
            <v>193.05399080132409</v>
          </cell>
          <cell r="H169">
            <v>225.49</v>
          </cell>
          <cell r="I169">
            <v>1352.94</v>
          </cell>
          <cell r="J169">
            <v>0.16800000000000001</v>
          </cell>
        </row>
        <row r="170">
          <cell r="A170" t="str">
            <v>2.2.5.6</v>
          </cell>
          <cell r="B170" t="str">
            <v>COTSV15001</v>
          </cell>
          <cell r="C170" t="str">
            <v>COTAÇÃO</v>
          </cell>
          <cell r="D170" t="str">
            <v>FORNECIMENTO E MONTAGEM DE GRADIL DE APOIO PARA TREPADEIRA EM TELA METÁLICA DE ARAME GALVANIZADO 60 X 60MM E CORDALHA Ø 4MM EM MÓDULOS DE 1,28 X 1,80M</v>
          </cell>
          <cell r="E170" t="str">
            <v>UND</v>
          </cell>
          <cell r="F170">
            <v>12</v>
          </cell>
          <cell r="G170">
            <v>90.182264002060748</v>
          </cell>
          <cell r="H170">
            <v>105.33</v>
          </cell>
          <cell r="I170">
            <v>1263.96</v>
          </cell>
          <cell r="J170">
            <v>0.16800000000000001</v>
          </cell>
        </row>
        <row r="171">
          <cell r="A171" t="str">
            <v>2.1.3.1.2.3</v>
          </cell>
          <cell r="B171" t="str">
            <v>COTSV3001</v>
          </cell>
          <cell r="C171" t="str">
            <v>COTAÇÃO</v>
          </cell>
          <cell r="D171" t="str">
            <v>FORNECIMENTO E INSTALAÇÃO DE PISO EM LAMINADO DE MADEIRA  DISPOSTO EM REGUAS (8X187X1200MM), NA COR SAVOY, LINHA NATURE, FABRICANTE DURAFLOOR OU EQUIVALENTE TECNICO</v>
          </cell>
          <cell r="E171" t="str">
            <v>M2</v>
          </cell>
          <cell r="F171">
            <v>158.69999999999999</v>
          </cell>
          <cell r="G171">
            <v>104.04854712819768</v>
          </cell>
          <cell r="H171">
            <v>121.53</v>
          </cell>
          <cell r="I171">
            <v>19286.810000000001</v>
          </cell>
          <cell r="J171">
            <v>0.16800000000000001</v>
          </cell>
        </row>
        <row r="172">
          <cell r="A172" t="str">
            <v>2.1.3.1.2.4</v>
          </cell>
          <cell r="B172" t="str">
            <v>COTSV3003</v>
          </cell>
          <cell r="C172" t="str">
            <v>COTAÇÃO</v>
          </cell>
          <cell r="D172" t="str">
            <v>FORNECIMENTO E INSTALAÇÃO DE RODAPÉ EM LAMINADO DE MADEIRA, ALTURA 12CM, TIPO VOGUE, LINHA NATURE, DURAFLOOR OU EQUIVALENTE TÉCNICO.</v>
          </cell>
          <cell r="E172" t="str">
            <v>M</v>
          </cell>
          <cell r="F172">
            <v>69.010000000000005</v>
          </cell>
          <cell r="G172">
            <v>27.902713833812864</v>
          </cell>
          <cell r="H172">
            <v>32.590000000000003</v>
          </cell>
          <cell r="I172">
            <v>2249.04</v>
          </cell>
          <cell r="J172">
            <v>0.16800000000000001</v>
          </cell>
        </row>
        <row r="173">
          <cell r="A173" t="str">
            <v>2.1.3.15.3.1</v>
          </cell>
          <cell r="B173" t="str">
            <v>COTSV3005</v>
          </cell>
          <cell r="C173" t="str">
            <v>COTAÇÃO</v>
          </cell>
          <cell r="D173" t="str">
            <v>G01 - FORNECIMENTO E INSTALAÇÃO DE ESQUADRIA TIPO FIXA/GIRO, EM ALUMINIO EXPANDIDO, ACABAMENTO ANODIZADO BRONZE, GRANIDESE SERIE ANGRA, COD.: GRANG, FABRICANTE PAPAIZ UNIDESE OU EQUIVALENTE TECNICO - DIMENSÕES 1,66 X 2,10M, COM 1 FOLHA DE GIRO 0,80X2,10 INCLUSO FECHADURA, FERRRAGENS E GUARNIÇÃO</v>
          </cell>
          <cell r="E173" t="str">
            <v>UND</v>
          </cell>
          <cell r="F173">
            <v>1</v>
          </cell>
          <cell r="G173">
            <v>2764.5900738157925</v>
          </cell>
          <cell r="H173">
            <v>3229.04</v>
          </cell>
          <cell r="I173">
            <v>3229.04</v>
          </cell>
          <cell r="J173">
            <v>0.16800000000000001</v>
          </cell>
        </row>
        <row r="174">
          <cell r="A174" t="str">
            <v>2.1.3.15.3.2</v>
          </cell>
          <cell r="B174" t="str">
            <v>COTSV3006</v>
          </cell>
          <cell r="C174" t="str">
            <v>COTAÇÃO</v>
          </cell>
          <cell r="D174" t="str">
            <v>G02 - FORNECIMENTO E INSTALAÇÃO DE ESQUADRIA TIPO MÓVEL, EM ALUMINIO EXPANDIDO, ACABAMENTO ANODIZADO BRONZE, GRANIDESE SERIE ANGRA, COD.: GRANG, FABRICANTE PAPAIZ UNIDESE OU EQUIVALENTE TECNICO - DIMENSÕES 10,64 X 2,10M</v>
          </cell>
          <cell r="E174" t="str">
            <v>UND</v>
          </cell>
          <cell r="F174">
            <v>1</v>
          </cell>
          <cell r="G174">
            <v>17347.490229107036</v>
          </cell>
          <cell r="H174">
            <v>20261.87</v>
          </cell>
          <cell r="I174">
            <v>20261.87</v>
          </cell>
          <cell r="J174">
            <v>0.16800000000000001</v>
          </cell>
        </row>
        <row r="175">
          <cell r="A175" t="str">
            <v>2.1.3.15.3.3</v>
          </cell>
          <cell r="B175" t="str">
            <v>COTSV3007</v>
          </cell>
          <cell r="C175" t="str">
            <v>COTAÇÃO</v>
          </cell>
          <cell r="D175" t="str">
            <v>G03 - FORNECIMENTO E INSTALAÇÃO DE PORTA DE CORRER, 2 FOLHAS, EM VENEZIANA DE ALUMINIO COM ACABAMENTO ANODIZADO BRONZE, INCLUSIVE FECHADURA LINHA 901 PARA PORTA DE CORRER FAB. STAM OU EQUIVALENTE TECNICO E GUARNIÇÃO - DIMENSÕES 1,60 X 1,72M, SENDO 2 FOLHAS DE CORRER 0,80X1,72M</v>
          </cell>
          <cell r="E175" t="str">
            <v>UND</v>
          </cell>
          <cell r="F175">
            <v>1</v>
          </cell>
          <cell r="G175">
            <v>1098.653855588803</v>
          </cell>
          <cell r="H175">
            <v>1283.23</v>
          </cell>
          <cell r="I175">
            <v>1283.23</v>
          </cell>
          <cell r="J175">
            <v>0.16800000000000001</v>
          </cell>
        </row>
        <row r="176">
          <cell r="A176" t="str">
            <v>2.1.3.15.3.4</v>
          </cell>
          <cell r="B176" t="str">
            <v>COTSV3008</v>
          </cell>
          <cell r="C176" t="str">
            <v>COTAÇÃO</v>
          </cell>
          <cell r="D176" t="str">
            <v>G04 - FORNECIMENTO E INSTALAÇÃO DE ESQUADRIA TIPO FIXA/GIRO, EM ALUMINIO EXPANDIDO, ACABAMENTO ANODIZADO BRONZE, GRANIDESE SERIE ANGRA, COD.: GRANG, FABRICANTE PAPAIZ UNIDESE OU EQUIVALENTE TECNICO - DIMENSÕES 1,05 X 2,10M, COM 1 FOLHA DE GIRO 0,80X2,10 INCLUSO FECHADURA, FERRRAGENS E GUARNIÇÃO</v>
          </cell>
          <cell r="E176" t="str">
            <v>UND</v>
          </cell>
          <cell r="F176">
            <v>1</v>
          </cell>
          <cell r="G176">
            <v>1748.6865482083895</v>
          </cell>
          <cell r="H176">
            <v>2042.47</v>
          </cell>
          <cell r="I176">
            <v>2042.47</v>
          </cell>
          <cell r="J176">
            <v>0.16800000000000001</v>
          </cell>
        </row>
        <row r="177">
          <cell r="A177" t="str">
            <v>2.1.3.15.3.5</v>
          </cell>
          <cell r="B177" t="str">
            <v>COTSV3009</v>
          </cell>
          <cell r="C177" t="str">
            <v>COTAÇÃO</v>
          </cell>
          <cell r="D177" t="str">
            <v>G05 - FORNECIMENTO E INSTALAÇÃO DE ESQUADRIA TIPO FIXA, EM ALUMINIO EXPANDIDO, ACABAMENTO ANODIZADO BRONZE, GRANIDESE SERIE ANGRA, COD.: GRANG, FABRICANTE PAPAIZ UNIDESE OU EQUIVALENTE TECNICO - DIMENSÕES 21,79 X 2,10M</v>
          </cell>
          <cell r="E177" t="str">
            <v>UND</v>
          </cell>
          <cell r="F177">
            <v>1</v>
          </cell>
          <cell r="G177">
            <v>34599.222936346581</v>
          </cell>
          <cell r="H177">
            <v>40411.89</v>
          </cell>
          <cell r="I177">
            <v>40411.89</v>
          </cell>
          <cell r="J177">
            <v>0.16800000000000001</v>
          </cell>
        </row>
        <row r="178">
          <cell r="A178" t="str">
            <v>2.1.3.15.4.1</v>
          </cell>
          <cell r="B178" t="str">
            <v>COTSV3010</v>
          </cell>
          <cell r="C178" t="str">
            <v>COTAÇÃO</v>
          </cell>
          <cell r="D178" t="str">
            <v>D01 - FORNECIMENTO E INSTALAÇÃO DE DIVISÓRIA, TIPO FIXA/GIRO, DE COMPENSADO COM REVESTIMENTO MELAMÍNICO E PERFIL METÁLICO NA COR AREIA JUNDIAÍ, LINHA DIVILUX - FORMIDUR DP, EUCATEX OU EQUIVALENTE TÉCNICO - DIMENSÕES 3,56X2,10M, INCLUSIVE PORTA DE 0,82M</v>
          </cell>
          <cell r="E178" t="str">
            <v>UND</v>
          </cell>
          <cell r="F178">
            <v>2</v>
          </cell>
          <cell r="G178">
            <v>712.59427357301422</v>
          </cell>
          <cell r="H178">
            <v>832.31</v>
          </cell>
          <cell r="I178">
            <v>1664.62</v>
          </cell>
          <cell r="J178">
            <v>0.16800000000000001</v>
          </cell>
        </row>
        <row r="179">
          <cell r="A179" t="str">
            <v>2.1.3.15.4.2</v>
          </cell>
          <cell r="B179" t="str">
            <v>COTSV3011</v>
          </cell>
          <cell r="C179" t="str">
            <v>COTAÇÃO</v>
          </cell>
          <cell r="D179" t="str">
            <v>D02 - FORNECIMENTO E INSTALAÇÃO DE DIVISÓRIA, TIPO FIXA, DE COMPENSADO COM REVESTIMENTO MELAMÍNICO E PERFIL METÁLICO NA COR AREIA JUNDIAÍ, LINHA DIVILUX - FORMIDUR DP, EUCATEX OU EQUIVALENTE TÉCNICO - DIMENSÕES 3,41X2,10M</v>
          </cell>
          <cell r="E179" t="str">
            <v>UND</v>
          </cell>
          <cell r="F179">
            <v>1</v>
          </cell>
          <cell r="G179">
            <v>534.87489214035827</v>
          </cell>
          <cell r="H179">
            <v>624.73</v>
          </cell>
          <cell r="I179">
            <v>624.73</v>
          </cell>
          <cell r="J179">
            <v>0.16800000000000001</v>
          </cell>
        </row>
        <row r="180">
          <cell r="A180" t="str">
            <v>2.1.3.15.4.3</v>
          </cell>
          <cell r="B180" t="str">
            <v>COTSV3012</v>
          </cell>
          <cell r="C180" t="str">
            <v>COTAÇÃO</v>
          </cell>
          <cell r="D180" t="str">
            <v>D03 - FORNECIMENTO E INSTALAÇÃO DE DIVISÓRIA, TIPO FIXA/GIRO, DE COMPENSADO COM REVESTIMENTO MELAMÍNICO E PERFIL METÁLICO NA COR AREIA JUNDIAÍ, LINHA DIVILUX - FORMIDUR DP, EUCATEX OU EQUIVALENTE TÉCNICO - DIMENSÕES 4,07X2,10M, INCLUSIVE PORTA DE 0,82M</v>
          </cell>
          <cell r="E180" t="str">
            <v>UND</v>
          </cell>
          <cell r="F180">
            <v>1</v>
          </cell>
          <cell r="G180">
            <v>792.59266704298909</v>
          </cell>
          <cell r="H180">
            <v>925.75</v>
          </cell>
          <cell r="I180">
            <v>925.75</v>
          </cell>
          <cell r="J180">
            <v>0.16800000000000001</v>
          </cell>
        </row>
        <row r="181">
          <cell r="A181" t="str">
            <v>2.1.3.15.4.4</v>
          </cell>
          <cell r="B181" t="str">
            <v>COTSV3013</v>
          </cell>
          <cell r="C181" t="str">
            <v>COTAÇÃO</v>
          </cell>
          <cell r="D181" t="str">
            <v>D04 - FORNECIMENTO E INSTALAÇÃO DE DIVISÓRIA, TIPO FIXA, DE COMPENSADO COM REVESTIMENTO MELAMÍNICO E PERFIL METÁLICO NA COR AREIA JUNDIAÍ, LINHA DIVILUX - FORMIDUR DP, EUCATEX OU EQUIVALENTE TÉCNICO - DIMENSÕES 2,93X2,10M</v>
          </cell>
          <cell r="E181" t="str">
            <v>UND</v>
          </cell>
          <cell r="F181">
            <v>1</v>
          </cell>
          <cell r="G181">
            <v>459.58470532795832</v>
          </cell>
          <cell r="H181">
            <v>536.79</v>
          </cell>
          <cell r="I181">
            <v>536.79</v>
          </cell>
          <cell r="J181">
            <v>0.16800000000000001</v>
          </cell>
        </row>
        <row r="182">
          <cell r="A182" t="str">
            <v>2.1.3.15.4.5</v>
          </cell>
          <cell r="B182" t="str">
            <v>COTSV3014</v>
          </cell>
          <cell r="C182" t="str">
            <v>COTAÇÃO</v>
          </cell>
          <cell r="D182" t="str">
            <v>D05 - FORNECIMENTO E INSTALAÇÃO DE DIVISÓRIA, TIPO FIXA, DE COMPENSADO COM REVESTIMENTO MELAMÍNICO E PERFIL METÁLICO NA COR AREIA JUNDIAÍ, LINHA DIVILUX - FORMIDUR DP, EUCATEX OU EQUIVALENTE TÉCNICO - DIMENSÕES 5,66X2,10M</v>
          </cell>
          <cell r="E182" t="str">
            <v>UND</v>
          </cell>
          <cell r="F182">
            <v>1</v>
          </cell>
          <cell r="G182">
            <v>887.79507284168335</v>
          </cell>
          <cell r="H182">
            <v>1036.94</v>
          </cell>
          <cell r="I182">
            <v>1036.94</v>
          </cell>
          <cell r="J182">
            <v>0.16800000000000001</v>
          </cell>
        </row>
        <row r="183">
          <cell r="A183" t="str">
            <v>2.1.3.15.4.6</v>
          </cell>
          <cell r="B183" t="str">
            <v>COTSV3015</v>
          </cell>
          <cell r="C183" t="str">
            <v>COTAÇÃO</v>
          </cell>
          <cell r="D183" t="str">
            <v>D06 - FORNECIMENTO E INSTALAÇÃO DE DIVISÓRIA, TIPO FIXA/GIRO, DE COMPENSADO COM REVESTIMENTO MELAMÍNICO E PERFIL METÁLICO NA COR AREIA JUNDIAÍ, LINHA DIVILUX - FORMIDUR DP, EUCATEX OU EQUIVALENTE TÉCNICO - DIMENSÕES 1,06X2,10M, INCLUSIVE PORTA DE 0,82M</v>
          </cell>
          <cell r="E183" t="str">
            <v>UND</v>
          </cell>
          <cell r="F183">
            <v>1</v>
          </cell>
          <cell r="G183">
            <v>320.46645053109745</v>
          </cell>
          <cell r="H183">
            <v>374.3</v>
          </cell>
          <cell r="I183">
            <v>374.3</v>
          </cell>
          <cell r="J183">
            <v>0.16800000000000001</v>
          </cell>
        </row>
        <row r="184">
          <cell r="A184" t="str">
            <v>2.1.3.9.1</v>
          </cell>
          <cell r="B184" t="str">
            <v>COTSV48001</v>
          </cell>
          <cell r="C184" t="str">
            <v>COTAÇÃO</v>
          </cell>
          <cell r="D184" t="str">
            <v>FORNECIMENTO E INSTALAÇÃO DE ELEVADOR DE USO RESTRITO - ACESSIBILIDADE, MODELO EL 2000, PERCURSO DE 4,67m COM APENAS 1 PARADA E COM ACESSO PELO MESMO LADO. ACABAMENTO DA CABINA EM AÇO INOX COM CAIXA DE CORRIDA EM VIDRO, DIMENSÕES INTERNAS DA CABINA 90x120cm, DIMENSÕES INTERNAS DA CAIXA DE CORRIDA 145x150cm. PÉ DIREITO DA ULTIMA PARADA 4,30m, INCLUI CASA DE MÁQUINA COMPACTA E POÇO DE 25cm. MONTELE OU EQUIVALENTE TÉCNICO. ALIMENTAÇÃO TRIFÁSICA 380V</v>
          </cell>
          <cell r="E184" t="str">
            <v>UND</v>
          </cell>
          <cell r="F184">
            <v>1</v>
          </cell>
          <cell r="G184">
            <v>83427.027027027027</v>
          </cell>
          <cell r="H184">
            <v>97442.77</v>
          </cell>
          <cell r="I184">
            <v>97442.77</v>
          </cell>
          <cell r="J184">
            <v>0.16800000000000001</v>
          </cell>
        </row>
        <row r="185">
          <cell r="A185" t="str">
            <v>2.1.3.7.2</v>
          </cell>
          <cell r="B185" t="str">
            <v>COTSV6001</v>
          </cell>
          <cell r="C185" t="str">
            <v>COTAÇÃO</v>
          </cell>
          <cell r="D185" t="str">
            <v>FORNECIMENTO E MONTAGEM DE EXPOSITOR REFRIGERADO EM VIDRO RETO, 0,60X1,60M, PROFUNDIDADE 45CM, MODULUS EXPOSITORES OU EQUIVALENTE TÉCNICO.</v>
          </cell>
          <cell r="E185" t="str">
            <v>UND</v>
          </cell>
          <cell r="F185">
            <v>1</v>
          </cell>
          <cell r="G185">
            <v>3937.1614102371118</v>
          </cell>
          <cell r="H185">
            <v>4598.6000000000004</v>
          </cell>
          <cell r="I185">
            <v>4598.6000000000004</v>
          </cell>
          <cell r="J185">
            <v>0.16800000000000001</v>
          </cell>
        </row>
        <row r="186">
          <cell r="A186" t="str">
            <v>2.1.3.12.2</v>
          </cell>
          <cell r="B186" t="str">
            <v>COTSV6002</v>
          </cell>
          <cell r="C186" t="str">
            <v>COTAÇÃO</v>
          </cell>
          <cell r="D186" t="str">
            <v>FORNECIMENTO E MONTAGEM DE QUIOSQUE PARA REVISTAS COM ESTRUTURA EM MDF E=18MM, A SER REVESTIDO COM LAMINADO MELAMÍNICO MADEIRADO, CÓD.: M820 ERGONOCE, ACABAMENTO TEXTURIZADO, FÓRMICA OU EQUIVALENTE TÉCNICO. COM FECHADURAS EM CILINDROS DE PRESSÃO PARA ARMÁRIOS COM PORTAS DE CORRER, CÓD.: ART 419, PAPAIZ OU EQUIVALENTE TÉCNICO. COM PUXADORES RETANGULARES DE EMBUTIR PARA MÓVEIS, LINHA SATORI 400MM, COMPRIMENTO 160MM, CÓD.:ZP1264, ACABAMENTO CROMADO, ZEN OU EQUIVALENTE TÉCNICO. CONFORME DETALHE.</v>
          </cell>
          <cell r="E186" t="str">
            <v>UND</v>
          </cell>
          <cell r="F186">
            <v>1</v>
          </cell>
          <cell r="G186">
            <v>3045.5280194563347</v>
          </cell>
          <cell r="H186">
            <v>3557.18</v>
          </cell>
          <cell r="I186">
            <v>3557.18</v>
          </cell>
          <cell r="J186">
            <v>0.16800000000000001</v>
          </cell>
        </row>
        <row r="187">
          <cell r="A187" t="str">
            <v>2.1.3.12.3</v>
          </cell>
          <cell r="B187" t="str">
            <v>COTSV6003</v>
          </cell>
          <cell r="C187" t="str">
            <v>COTAÇÃO</v>
          </cell>
          <cell r="D187" t="str">
            <v>FORNECIMENTO E MONTAGEM DE ARMARIOS COM ESTRUTURA EM MDF E=18MM E PORTAS E PRATELEIRAS EM MDF E=15MM, A SEREM REVESTIDOS COM LAMINADO MELAMÍNICO MADEIRADO, CÓD. M 820 ERGONOCE, ACABAMENTO TEXTURIZADO, FÓRMICA OU EQUIVALENTE TÉCNICO. COM FECHADURAS EM CILINDROS DE PRESSÃO PARA ARMÁRIOS COM PORTAS DE CORRER, CÓD.: ART 419, PAPAIZ OU EQUIVALENTE TÉCNICO. COM PUXADORES RETANGULARES DE EMBUTIR PARA MÓVEIS, LINHA SATORI 400MM, COMPRIMENTO 160MM, CÓD.:ZP1264, ACABAMENTO CROMADO, ZEN OU EQUIVALENTE TÉCNICO. CONFORME DETALHE.</v>
          </cell>
          <cell r="E187" t="str">
            <v>UND</v>
          </cell>
          <cell r="F187">
            <v>1</v>
          </cell>
          <cell r="G187">
            <v>8425.9608538291923</v>
          </cell>
          <cell r="H187">
            <v>9841.52</v>
          </cell>
          <cell r="I187">
            <v>9841.52</v>
          </cell>
          <cell r="J187">
            <v>0.16800000000000001</v>
          </cell>
        </row>
        <row r="188">
          <cell r="A188" t="str">
            <v>2.1.3.12.4</v>
          </cell>
          <cell r="B188" t="str">
            <v>COTSV6004</v>
          </cell>
          <cell r="C188" t="str">
            <v>COTAÇÃO</v>
          </cell>
          <cell r="D188" t="str">
            <v>FORNECIMENTO E MONTAGEM DE PORTINHOLAS EM MDF E=15MM, A SEREM REVESTIDAS COM LAMINADO MELAMÍNICO MADEIRADO, CÓD. M 820 ERGONOCE, ACABAMENTO TEXTURIZADO, FÓRMICA OU EQUIVALENTE TÉCNICO</v>
          </cell>
          <cell r="E188" t="str">
            <v>UND</v>
          </cell>
          <cell r="F188">
            <v>4</v>
          </cell>
          <cell r="G188">
            <v>1522.7640097281674</v>
          </cell>
          <cell r="H188">
            <v>1778.59</v>
          </cell>
          <cell r="I188">
            <v>7114.36</v>
          </cell>
          <cell r="J188">
            <v>0.16800000000000001</v>
          </cell>
        </row>
        <row r="189">
          <cell r="A189" t="str">
            <v>2.1.3.12.5</v>
          </cell>
          <cell r="B189" t="str">
            <v>COTSV6005</v>
          </cell>
          <cell r="C189" t="str">
            <v>COTAÇÃO</v>
          </cell>
          <cell r="D189" t="str">
            <v>FORNECIMENTO E MONTAGEM DE BATEDOR PARA PORTINHOLAS EM PERFIL DE ALUMÍNIO EM "L", COM ABAS IGUAIS.</v>
          </cell>
          <cell r="E189" t="str">
            <v>UND</v>
          </cell>
          <cell r="F189">
            <v>2</v>
          </cell>
          <cell r="G189">
            <v>761.38200486408368</v>
          </cell>
          <cell r="H189">
            <v>889.29</v>
          </cell>
          <cell r="I189">
            <v>1778.58</v>
          </cell>
          <cell r="J189">
            <v>0.16800000000000001</v>
          </cell>
        </row>
        <row r="190">
          <cell r="A190" t="str">
            <v>2.1.3.12.1</v>
          </cell>
          <cell r="B190" t="str">
            <v>COTSV6006</v>
          </cell>
          <cell r="C190" t="str">
            <v>COTAÇÃO</v>
          </cell>
          <cell r="D190" t="str">
            <v>FORNECIMENTO E MONTAGEM DE ARMARIO COM ESTRUTURA EM MDF E=18mm E PORTAS E PRATELEIRAS EM MDF E=15mM, A SEREM REVESTIDOS COM LAMINADO MELAMÍNICO BRANCO, CÓD. L120, ACABAMENTO BRILHANTE, FÓRMICA OU EQUIVALENTE TÉCNICO. COM FECHADURAS EM CILINDROS DE PRESSÃO PARA ARMÁRIOS COM PORTAS DE CORRER, CÓD.: ART 419, PAPAIZ OU EQUIVALENTE TÉCNICO (4UN.). PUXADORES RETANGULARES DE EMBUTIR PARA MÓVEIS, LINHA SATORI 400mm, COMPRIMENTO 160mm, CÓD.:ZP1264, ACABAMENTO CROMADO, ZEN OU EQUIVALENTE TÉCNICO. RODAPÉ EM EM MDF E=18mm, A SER REVESTIDO COM LAMINADO MELAMÍNICO BRANCO, CÓD. L120, ACABAMENTO BRILHANTE, FÓRMICA OU EQUIVALENTE TÉCNICO. COM VIDRO TEMPERADO 6mm, ACABAMENTO TRANSLÚCIDO, A SER FIXADO COM CILINDROS CROMADOS.</v>
          </cell>
          <cell r="E190" t="str">
            <v>UND</v>
          </cell>
          <cell r="F190">
            <v>1</v>
          </cell>
          <cell r="G190">
            <v>27409.752175107013</v>
          </cell>
          <cell r="H190">
            <v>32014.59</v>
          </cell>
          <cell r="I190">
            <v>32014.59</v>
          </cell>
          <cell r="J190">
            <v>0.16800000000000001</v>
          </cell>
        </row>
        <row r="191">
          <cell r="A191" t="str">
            <v>2.1.3.13.1</v>
          </cell>
          <cell r="B191" t="str">
            <v>COTSV6007</v>
          </cell>
          <cell r="C191" t="str">
            <v>COTAÇÃO</v>
          </cell>
          <cell r="D191" t="str">
            <v>FORNECIMENTO E MONTAGEM DE MESA RETANGULAR, 1200x700x730mm, CÓD.: PLU7027, LINHA PLURI, BORTOLINI OU EQUIVALENTE TÉCNICO. COM ACABAMENTO EM MDP (LAMINADO MELAMÍNICO) NA COR BRANCO, E ACABAMENTO PRETO PARA METAIS. ACOMPANHA FIXAÇÕES COM BUCHAS METÁLICAS E CALHA PARA PASSAGEM DE CABOS, COM PASSA-CABOS SEGMENTADO.</v>
          </cell>
          <cell r="E191" t="str">
            <v>UND</v>
          </cell>
          <cell r="F191">
            <v>12</v>
          </cell>
          <cell r="G191">
            <v>502.17444371733205</v>
          </cell>
          <cell r="H191">
            <v>586.54</v>
          </cell>
          <cell r="I191">
            <v>7038.48</v>
          </cell>
          <cell r="J191">
            <v>0.16800000000000001</v>
          </cell>
        </row>
        <row r="192">
          <cell r="A192" t="str">
            <v>2.1.3.13.2</v>
          </cell>
          <cell r="B192" t="str">
            <v>COTSV6008</v>
          </cell>
          <cell r="C192" t="str">
            <v>COTAÇÃO</v>
          </cell>
          <cell r="D192" t="str">
            <v>FORNECIMENTO E MONTAGEM DE MESA DE REUNIÃO BOTE, 1600x1170x730mm, CÓD.: AUR3503, LINHA AUGUSTUS, BORTOLINI OU EQUIVALENTE TÉCNICO. COM ACABAMENTO EM MDP (LAMINADO MELAMÍNICO) NA COR BRANCO. ACOMPANHA FIXAÇÕES COM BUCHAS METÁLICAS, BASE EM ALUMÍNIO E AÇO, E CALHA PARA PASSAGEM DE CABOS, COM PASSA-CABOS SEGMENTADO.</v>
          </cell>
          <cell r="E192" t="str">
            <v>UND</v>
          </cell>
          <cell r="F192">
            <v>2</v>
          </cell>
          <cell r="G192">
            <v>1154.4358245538667</v>
          </cell>
          <cell r="H192">
            <v>1348.38</v>
          </cell>
          <cell r="I192">
            <v>2696.76</v>
          </cell>
          <cell r="J192">
            <v>0.16800000000000001</v>
          </cell>
        </row>
        <row r="193">
          <cell r="A193" t="str">
            <v>2.1.3.13.3</v>
          </cell>
          <cell r="B193" t="str">
            <v>COTSV6009</v>
          </cell>
          <cell r="C193" t="str">
            <v>COTAÇÃO</v>
          </cell>
          <cell r="D193" t="str">
            <v>FORNECIMENTO E MONTAGEM DE MESA ANGULAR COM GAVETEIRO 1600/600x1400/600x730mm DIR, CÓD.: ERM1027, LINHA ERGON, BORTOLINI OU EQUIVALENTE TÉCNICO. COM ACABAMENTO EM MDP (LAMINADO MELAMÍNICO) NA COR BRANCO. COM CALHA PARA FIAÇÃO, CÓD.: ACC1500 E PASSA-CABOS ACP0070, BORTOLINI OU EQUIVALENTE TÉCNICO.</v>
          </cell>
          <cell r="E193" t="str">
            <v>UND</v>
          </cell>
          <cell r="F193">
            <v>2</v>
          </cell>
          <cell r="G193">
            <v>1317.8866670329983</v>
          </cell>
          <cell r="H193">
            <v>1539.29</v>
          </cell>
          <cell r="I193">
            <v>3078.58</v>
          </cell>
          <cell r="J193">
            <v>0.16800000000000001</v>
          </cell>
        </row>
        <row r="194">
          <cell r="A194" t="str">
            <v>2.1.3.13.4</v>
          </cell>
          <cell r="B194" t="str">
            <v>COTSV6010</v>
          </cell>
          <cell r="C194" t="str">
            <v>COTAÇÃO</v>
          </cell>
          <cell r="D194" t="str">
            <v>FORNECIMENTO E MONTAGEM DE MESA ANGULAR COM GAVETEIRO 1400/600x1600/600x730mm ESQ, CÓD.: ERM1028, LINHA ERGON, BORTOLINI OU EQUIVALENTE TÉCNICO. COM ACABAMENTO EM MDP (LAMINADO MELAMÍNICO) NA COR BRANCO. COM CALHA PARA FIAÇÃO, CÓD.: ACC1500 E PASSA-CABOS ACP0070, BORTOLINI OU EQUIVALENTE TÉCNICO.</v>
          </cell>
          <cell r="E194" t="str">
            <v>UND</v>
          </cell>
          <cell r="F194">
            <v>2</v>
          </cell>
          <cell r="G194">
            <v>1317.8866670329983</v>
          </cell>
          <cell r="H194">
            <v>1539.29</v>
          </cell>
          <cell r="I194">
            <v>3078.58</v>
          </cell>
          <cell r="J194">
            <v>0.16800000000000001</v>
          </cell>
        </row>
        <row r="195">
          <cell r="A195" t="str">
            <v>2.1.3.13.5</v>
          </cell>
          <cell r="B195" t="str">
            <v>COTSV6011</v>
          </cell>
          <cell r="C195" t="str">
            <v>COTAÇÃO</v>
          </cell>
          <cell r="D195" t="str">
            <v>FORNECIMENTO E MONTAGEM DE MESA GERENTE COM GAVETEIRO, 1530/600x1800/800x730 ESQ, CÓD.: BEX1219, LINHA EXPRESS, BORTOLINI OU EQUIVALENTE TÉCNICO, COM ACABENTO EM MDP (LAMINADO MELAMÍNICO) NA COR BRANCO. COM CALHA PARA FIAÇÃO, CÓD.: ACC1700 E PASSA-CABOS ACP0070, BORTOLINI OU EQUIVALENTE TÉCNICO.</v>
          </cell>
          <cell r="E195" t="str">
            <v>UND</v>
          </cell>
          <cell r="F195">
            <v>1</v>
          </cell>
          <cell r="G195">
            <v>1703.3839370309502</v>
          </cell>
          <cell r="H195">
            <v>1989.55</v>
          </cell>
          <cell r="I195">
            <v>1989.55</v>
          </cell>
          <cell r="J195">
            <v>0.16800000000000001</v>
          </cell>
        </row>
        <row r="196">
          <cell r="A196" t="str">
            <v>2.1.3.13.6</v>
          </cell>
          <cell r="B196" t="str">
            <v>COTSV6012</v>
          </cell>
          <cell r="C196" t="str">
            <v>COTAÇÃO</v>
          </cell>
          <cell r="D196" t="str">
            <v>FORNECIMENTO E MONTAGEM DE CADEIRA PARA ESCRITÓRIO, COM BRAÇO, CÓD.: CCIC.MEGB2, LINHA CICLA, BORTOLINI OU EQUIVALENTE TÉCNICO, COM ACABAMENTO CREPE DE POLIÉSTER T18 E ACABAMENTO PRETO PARA METAL.</v>
          </cell>
          <cell r="E196" t="str">
            <v>UND</v>
          </cell>
          <cell r="F196">
            <v>7</v>
          </cell>
          <cell r="G196">
            <v>718.58747113058223</v>
          </cell>
          <cell r="H196">
            <v>839.31</v>
          </cell>
          <cell r="I196">
            <v>5875.17</v>
          </cell>
          <cell r="J196">
            <v>0.16800000000000001</v>
          </cell>
        </row>
        <row r="197">
          <cell r="A197" t="str">
            <v>2.1.3.13.7</v>
          </cell>
          <cell r="B197" t="str">
            <v>COTSV6013</v>
          </cell>
          <cell r="C197" t="str">
            <v>COTAÇÃO</v>
          </cell>
          <cell r="D197" t="str">
            <v>FORNECIMENTO E MONTAGEM DE CADEIRA PARA ESCRITÓRIO, SEM BRAÇO, CÓD.: CCIC.BAGSE, LINHA CICLA, BORTOLINI OU EQUIVALENTE TÉCNICO, COM ACABAMENTO CREPE DE POLIÉSTER T18 E ACABAMENTO PRETO PARA METAL.</v>
          </cell>
          <cell r="E197" t="str">
            <v>UND</v>
          </cell>
          <cell r="F197">
            <v>38</v>
          </cell>
          <cell r="G197">
            <v>410.16909527782082</v>
          </cell>
          <cell r="H197">
            <v>479.08</v>
          </cell>
          <cell r="I197">
            <v>18205.04</v>
          </cell>
          <cell r="J197">
            <v>0.16800000000000001</v>
          </cell>
        </row>
        <row r="198">
          <cell r="A198" t="str">
            <v>2.1.3.13.8</v>
          </cell>
          <cell r="B198" t="str">
            <v>COTSV6014</v>
          </cell>
          <cell r="C198" t="str">
            <v>COTAÇÃO</v>
          </cell>
          <cell r="D198" t="str">
            <v>FORNECIMENTO E MONTAGEM DE BANCADA BAIXA, 2000x600x730mm, CÓD.: VBB2060, LINHA VENIRE, BORTOLINI OU EQUIVALENTE TÉCNICO. COM ACABAMENTO EM MDP (LAMINADO MELAMÍNICO) NA COR BRANCO. COM CALHA PARA FIAÇÃO, CÓD.: ACC1700 E PASSA CABOS ACP0070, BORTOLINI OU EQUIVALENTE TÉCNICO.</v>
          </cell>
          <cell r="E198" t="str">
            <v>UND</v>
          </cell>
          <cell r="F198">
            <v>3</v>
          </cell>
          <cell r="G198">
            <v>446.48807807522786</v>
          </cell>
          <cell r="H198">
            <v>521.5</v>
          </cell>
          <cell r="I198">
            <v>1564.5</v>
          </cell>
          <cell r="J198">
            <v>0.16800000000000001</v>
          </cell>
        </row>
        <row r="199">
          <cell r="A199" t="str">
            <v>2.1.3.13.9</v>
          </cell>
          <cell r="B199" t="str">
            <v>COTSV6015</v>
          </cell>
          <cell r="C199" t="str">
            <v>COTAÇÃO</v>
          </cell>
          <cell r="D199" t="str">
            <v>FORNECIMENTO E MONTAGEM DE BANCADA ALTA, 1200x600x1100mm, CÓD.: VBA1263, LINHA VENIRE, BORTOLINI OU EQUIVALENTE TÉCNICO. COM ACABAMENTO EM MDP (LAMINADO MELAMÍNICO) NA COR BRANCO.</v>
          </cell>
          <cell r="E199" t="str">
            <v>UND</v>
          </cell>
          <cell r="F199">
            <v>1</v>
          </cell>
          <cell r="G199">
            <v>723.10035917135826</v>
          </cell>
          <cell r="H199">
            <v>844.58</v>
          </cell>
          <cell r="I199">
            <v>844.58</v>
          </cell>
          <cell r="J199">
            <v>0.16800000000000001</v>
          </cell>
        </row>
        <row r="200">
          <cell r="A200" t="str">
            <v>2.1.3.13.10</v>
          </cell>
          <cell r="B200" t="str">
            <v>COTSV6016</v>
          </cell>
          <cell r="C200" t="str">
            <v>COTAÇÃO</v>
          </cell>
          <cell r="D200" t="str">
            <v>FORNECIMENTO E MONTAGEM DE GÔNDOLA PARA CENTRO DE LOJA, COM ESTRUTURA METÁLICA MODULAR (0,95x0,30m), COM PINTURA ELETROSTÁTICA NA COR BRANCO, COM PÉ REGULADOR, H=1,50m. COM 4 BANDEJAS METALICAS. LINHA PLUS, METAL DESING OU EQUIVALENTE TÉCNICO.</v>
          </cell>
          <cell r="E200" t="str">
            <v>UND</v>
          </cell>
          <cell r="F200">
            <v>12</v>
          </cell>
          <cell r="G200">
            <v>458.5875523895636</v>
          </cell>
          <cell r="H200">
            <v>535.63</v>
          </cell>
          <cell r="I200">
            <v>6427.56</v>
          </cell>
          <cell r="J200">
            <v>0.16800000000000001</v>
          </cell>
        </row>
        <row r="201">
          <cell r="A201" t="str">
            <v>2.1.3.13.11</v>
          </cell>
          <cell r="B201" t="str">
            <v>COTSV6017</v>
          </cell>
          <cell r="C201" t="str">
            <v>COTAÇÃO</v>
          </cell>
          <cell r="D201" t="str">
            <v>FORNECIMENTO E MONTAGEM DE PONTA DE GÔNDOLA, COM ESTRUTURA METÁLICA MODULAR (0,65x0,30m), COM PINTURA ELETROSTÁTICA NA COR BRANCO, COM PÉ REGULADOR, H=1,50m. COM 4 BANDEJAS METALICAS. METAL DESING OU EQUIVALENTE TÉCNICO.</v>
          </cell>
          <cell r="E201" t="str">
            <v>UND</v>
          </cell>
          <cell r="F201">
            <v>4</v>
          </cell>
          <cell r="G201">
            <v>395.61271836269816</v>
          </cell>
          <cell r="H201">
            <v>462.08</v>
          </cell>
          <cell r="I201">
            <v>1848.32</v>
          </cell>
          <cell r="J201">
            <v>0.16800000000000001</v>
          </cell>
        </row>
        <row r="202">
          <cell r="A202" t="str">
            <v>2.1.3.13.13</v>
          </cell>
          <cell r="B202" t="str">
            <v>COTSV6019</v>
          </cell>
          <cell r="C202" t="str">
            <v>COTAÇÃO</v>
          </cell>
          <cell r="D202" t="str">
            <v>FORNECIMENTO E MONTAGEM DE PAINEL DIVISÓRIO, COM RODAPÉ, 700x1300mm, CÓD.: DIP5972, BORTOLINI OU EQUIVALENTE TÉCNICO, COM ACABAMENTO EM MDP (LAMINADO MELAMÍNICO) NA COR BRANCO.</v>
          </cell>
          <cell r="E202" t="str">
            <v>UND</v>
          </cell>
          <cell r="F202">
            <v>4</v>
          </cell>
          <cell r="G202">
            <v>277.55803439852536</v>
          </cell>
          <cell r="H202">
            <v>324.19</v>
          </cell>
          <cell r="I202">
            <v>1296.76</v>
          </cell>
          <cell r="J202">
            <v>0.16800000000000001</v>
          </cell>
        </row>
        <row r="203">
          <cell r="A203" t="str">
            <v>2.1.3.13.14</v>
          </cell>
          <cell r="B203" t="str">
            <v>COTSV6020</v>
          </cell>
          <cell r="C203" t="str">
            <v>COTAÇÃO</v>
          </cell>
          <cell r="D203" t="str">
            <v>CONECTOR 90 GRAUS, 2 LADOS, PARA PAINEL DIVISÓRIO, 1300mm CÓD.: DIC5938, BORTOLINI OU EQUIVALENTE TÉCNICO.</v>
          </cell>
          <cell r="E203" t="str">
            <v>UND</v>
          </cell>
          <cell r="F203">
            <v>2</v>
          </cell>
          <cell r="G203">
            <v>101.77127927945931</v>
          </cell>
          <cell r="H203">
            <v>118.87</v>
          </cell>
          <cell r="I203">
            <v>237.74</v>
          </cell>
          <cell r="J203">
            <v>0.16800000000000001</v>
          </cell>
        </row>
        <row r="204">
          <cell r="A204" t="str">
            <v>2.1.3.13.15</v>
          </cell>
          <cell r="B204" t="str">
            <v>COTSV6021</v>
          </cell>
          <cell r="C204" t="str">
            <v>COTAÇÃO</v>
          </cell>
          <cell r="D204" t="str">
            <v>FORNECIMENTO E MONTAGEM DE CONECTOR PARA FIXAÇÃO NO CHÃO, 1300mm CÓD.: DIC5972, BORTOLINI OU EQUIVALENTE TÉCNICO.</v>
          </cell>
          <cell r="E204" t="str">
            <v>UND</v>
          </cell>
          <cell r="F204">
            <v>4</v>
          </cell>
          <cell r="G204">
            <v>122.33113367935007</v>
          </cell>
          <cell r="H204">
            <v>142.88</v>
          </cell>
          <cell r="I204">
            <v>571.52</v>
          </cell>
          <cell r="J204">
            <v>0.16800000000000001</v>
          </cell>
        </row>
        <row r="205">
          <cell r="A205" t="str">
            <v>2.1.3.13.16</v>
          </cell>
          <cell r="B205" t="str">
            <v>COTSV6022</v>
          </cell>
          <cell r="C205" t="str">
            <v>COTAÇÃO</v>
          </cell>
          <cell r="D205" t="str">
            <v>FORNECIMENTO E MONTAGEM DE ARREMATE HORIZONTAL PARA PAINEL DIVISÓRIO, 1400x50mm, CÓD.: DIA5987, BORTOLINI OU EQUIVALENTE TÉCNICO, COM ACABAMENTO EM MDP (LAMINADO MELAMÍNICO) NA COR BRANCO.</v>
          </cell>
          <cell r="E205" t="str">
            <v>UND</v>
          </cell>
          <cell r="F205">
            <v>2</v>
          </cell>
          <cell r="G205">
            <v>25.699817999863463</v>
          </cell>
          <cell r="H205">
            <v>30.02</v>
          </cell>
          <cell r="I205">
            <v>60.04</v>
          </cell>
          <cell r="J205">
            <v>0.16800000000000001</v>
          </cell>
        </row>
        <row r="206">
          <cell r="A206" t="str">
            <v>2.1.3.13.17</v>
          </cell>
          <cell r="B206" t="str">
            <v>COTSV6023</v>
          </cell>
          <cell r="C206" t="str">
            <v>COTAÇÃO</v>
          </cell>
          <cell r="D206" t="str">
            <v>FORNECIMENTO E MONTAGEM DE ARREMATE VERTICAL PARA PAINEL DIVISÓRIO, 1300mm, CÓD.: DIA5962,BORTOLINI OU EQUIVALENTE TÉCNICO, COM ACABAMENTO EM MDP (LAMINADO MELAMÍNICO) NA COR BRANCO.</v>
          </cell>
          <cell r="E206" t="str">
            <v>UND</v>
          </cell>
          <cell r="F206">
            <v>2</v>
          </cell>
          <cell r="G206">
            <v>66.819526799645004</v>
          </cell>
          <cell r="H206">
            <v>78.05</v>
          </cell>
          <cell r="I206">
            <v>156.1</v>
          </cell>
          <cell r="J206">
            <v>0.16800000000000001</v>
          </cell>
        </row>
        <row r="207">
          <cell r="A207" t="str">
            <v>2.1.3.13.12</v>
          </cell>
          <cell r="B207" t="str">
            <v>COTSV6025</v>
          </cell>
          <cell r="C207" t="str">
            <v>COTAÇÃO</v>
          </cell>
          <cell r="D207" t="str">
            <v>FORNECIMENTO E MONTAGEM DE ARMÁRIO ALTO 400X472X1607MM, CÓD.: ARA4816 LINHA VENIRE, BORTOLINI OU EQUIVALENTE TÉCNICO. COM ACABAMENTO EM MDP (LAMINADO MELAMÍNICO) NA COR BRANCO.</v>
          </cell>
          <cell r="E207" t="str">
            <v>UND</v>
          </cell>
          <cell r="F207">
            <v>11</v>
          </cell>
          <cell r="G207">
            <v>1065.9348068097172</v>
          </cell>
          <cell r="H207">
            <v>1245.01</v>
          </cell>
          <cell r="I207">
            <v>13695.11</v>
          </cell>
          <cell r="J207">
            <v>0.16800000000000001</v>
          </cell>
        </row>
        <row r="208">
          <cell r="A208">
            <v>0</v>
          </cell>
          <cell r="B208">
            <v>0</v>
          </cell>
          <cell r="C208">
            <v>0</v>
          </cell>
          <cell r="D208">
            <v>0</v>
          </cell>
          <cell r="E208">
            <v>0</v>
          </cell>
          <cell r="F208">
            <v>0</v>
          </cell>
          <cell r="G208">
            <v>0</v>
          </cell>
          <cell r="H208">
            <v>0</v>
          </cell>
          <cell r="I208">
            <v>0</v>
          </cell>
          <cell r="J208">
            <v>0</v>
          </cell>
        </row>
        <row r="209">
          <cell r="A209" t="str">
            <v>2.0</v>
          </cell>
          <cell r="B209">
            <v>0</v>
          </cell>
          <cell r="C209">
            <v>0</v>
          </cell>
          <cell r="D209" t="str">
            <v>OBRAS CIVIS</v>
          </cell>
          <cell r="E209" t="str">
            <v/>
          </cell>
          <cell r="F209">
            <v>0</v>
          </cell>
          <cell r="G209" t="str">
            <v/>
          </cell>
          <cell r="H209">
            <v>0</v>
          </cell>
          <cell r="I209">
            <v>0</v>
          </cell>
          <cell r="J209">
            <v>0</v>
          </cell>
        </row>
        <row r="210">
          <cell r="A210">
            <v>0</v>
          </cell>
          <cell r="B210">
            <v>0</v>
          </cell>
          <cell r="C210">
            <v>0</v>
          </cell>
          <cell r="D210" t="str">
            <v/>
          </cell>
          <cell r="E210" t="str">
            <v/>
          </cell>
          <cell r="F210">
            <v>0</v>
          </cell>
          <cell r="G210" t="str">
            <v/>
          </cell>
          <cell r="H210" t="str">
            <v/>
          </cell>
          <cell r="I210">
            <v>0</v>
          </cell>
          <cell r="J210">
            <v>0</v>
          </cell>
        </row>
        <row r="211">
          <cell r="A211" t="str">
            <v>2.1</v>
          </cell>
          <cell r="B211">
            <v>0</v>
          </cell>
          <cell r="C211">
            <v>0</v>
          </cell>
          <cell r="D211" t="str">
            <v>ARQUITETURA</v>
          </cell>
          <cell r="E211">
            <v>0</v>
          </cell>
          <cell r="F211">
            <v>0</v>
          </cell>
          <cell r="G211">
            <v>0</v>
          </cell>
          <cell r="H211">
            <v>0</v>
          </cell>
          <cell r="I211">
            <v>0</v>
          </cell>
          <cell r="J211">
            <v>0</v>
          </cell>
        </row>
        <row r="212">
          <cell r="A212">
            <v>0</v>
          </cell>
          <cell r="B212">
            <v>0</v>
          </cell>
          <cell r="C212">
            <v>0</v>
          </cell>
          <cell r="D212">
            <v>0</v>
          </cell>
          <cell r="E212">
            <v>0</v>
          </cell>
          <cell r="F212">
            <v>0</v>
          </cell>
          <cell r="G212">
            <v>0</v>
          </cell>
          <cell r="H212">
            <v>0</v>
          </cell>
          <cell r="I212">
            <v>0</v>
          </cell>
          <cell r="J212">
            <v>0</v>
          </cell>
        </row>
        <row r="213">
          <cell r="A213" t="str">
            <v>2.1.1</v>
          </cell>
          <cell r="B213">
            <v>0</v>
          </cell>
          <cell r="C213">
            <v>0</v>
          </cell>
          <cell r="D213" t="str">
            <v>DEMOLIÇÕES</v>
          </cell>
          <cell r="E213" t="str">
            <v/>
          </cell>
          <cell r="F213">
            <v>0</v>
          </cell>
          <cell r="G213" t="str">
            <v/>
          </cell>
          <cell r="H213" t="str">
            <v/>
          </cell>
          <cell r="I213">
            <v>0</v>
          </cell>
          <cell r="J213">
            <v>0</v>
          </cell>
        </row>
        <row r="214">
          <cell r="A214">
            <v>0</v>
          </cell>
          <cell r="B214">
            <v>0</v>
          </cell>
          <cell r="C214">
            <v>0</v>
          </cell>
          <cell r="D214" t="str">
            <v/>
          </cell>
          <cell r="E214" t="str">
            <v/>
          </cell>
          <cell r="F214">
            <v>0</v>
          </cell>
          <cell r="G214" t="str">
            <v/>
          </cell>
          <cell r="H214" t="str">
            <v/>
          </cell>
          <cell r="I214">
            <v>0</v>
          </cell>
          <cell r="J214">
            <v>0</v>
          </cell>
        </row>
        <row r="215">
          <cell r="A215" t="str">
            <v>2.1.1.1</v>
          </cell>
          <cell r="B215">
            <v>0</v>
          </cell>
          <cell r="C215">
            <v>0</v>
          </cell>
          <cell r="D215" t="str">
            <v>PISO</v>
          </cell>
          <cell r="E215" t="str">
            <v/>
          </cell>
          <cell r="F215">
            <v>0</v>
          </cell>
          <cell r="G215" t="str">
            <v/>
          </cell>
          <cell r="H215" t="str">
            <v/>
          </cell>
          <cell r="I215">
            <v>0</v>
          </cell>
          <cell r="J215">
            <v>0</v>
          </cell>
        </row>
        <row r="216">
          <cell r="A216">
            <v>0</v>
          </cell>
          <cell r="B216">
            <v>0</v>
          </cell>
          <cell r="C216">
            <v>0</v>
          </cell>
          <cell r="D216" t="str">
            <v/>
          </cell>
          <cell r="E216" t="str">
            <v/>
          </cell>
          <cell r="F216">
            <v>0</v>
          </cell>
          <cell r="G216" t="str">
            <v/>
          </cell>
          <cell r="H216" t="str">
            <v/>
          </cell>
          <cell r="I216">
            <v>0</v>
          </cell>
          <cell r="J216">
            <v>0</v>
          </cell>
        </row>
        <row r="217">
          <cell r="A217" t="str">
            <v>2.1.1.2</v>
          </cell>
          <cell r="B217">
            <v>0</v>
          </cell>
          <cell r="C217">
            <v>0</v>
          </cell>
          <cell r="D217" t="str">
            <v>PAREDE</v>
          </cell>
          <cell r="E217" t="str">
            <v/>
          </cell>
          <cell r="F217">
            <v>0</v>
          </cell>
          <cell r="G217" t="str">
            <v/>
          </cell>
          <cell r="H217" t="str">
            <v/>
          </cell>
          <cell r="I217">
            <v>0</v>
          </cell>
          <cell r="J217">
            <v>0</v>
          </cell>
        </row>
        <row r="218">
          <cell r="A218">
            <v>0</v>
          </cell>
          <cell r="B218">
            <v>0</v>
          </cell>
          <cell r="C218">
            <v>0</v>
          </cell>
          <cell r="D218" t="str">
            <v/>
          </cell>
          <cell r="E218" t="str">
            <v/>
          </cell>
          <cell r="F218">
            <v>0</v>
          </cell>
          <cell r="G218" t="str">
            <v/>
          </cell>
          <cell r="H218" t="str">
            <v/>
          </cell>
          <cell r="I218">
            <v>0</v>
          </cell>
          <cell r="J218">
            <v>0</v>
          </cell>
        </row>
        <row r="219">
          <cell r="A219" t="str">
            <v>2.1.1.3</v>
          </cell>
          <cell r="B219">
            <v>0</v>
          </cell>
          <cell r="C219">
            <v>0</v>
          </cell>
          <cell r="D219" t="str">
            <v>TETO</v>
          </cell>
          <cell r="E219" t="str">
            <v/>
          </cell>
          <cell r="F219">
            <v>0</v>
          </cell>
          <cell r="G219" t="str">
            <v/>
          </cell>
          <cell r="H219" t="str">
            <v/>
          </cell>
          <cell r="I219">
            <v>0</v>
          </cell>
          <cell r="J219">
            <v>0</v>
          </cell>
        </row>
        <row r="220">
          <cell r="A220">
            <v>0</v>
          </cell>
          <cell r="B220">
            <v>0</v>
          </cell>
          <cell r="C220">
            <v>0</v>
          </cell>
          <cell r="D220" t="str">
            <v/>
          </cell>
          <cell r="E220" t="str">
            <v/>
          </cell>
          <cell r="F220">
            <v>0</v>
          </cell>
          <cell r="G220" t="str">
            <v/>
          </cell>
          <cell r="H220" t="str">
            <v/>
          </cell>
          <cell r="I220">
            <v>0</v>
          </cell>
          <cell r="J220">
            <v>0</v>
          </cell>
        </row>
        <row r="221">
          <cell r="A221" t="str">
            <v>2.1.1.4</v>
          </cell>
          <cell r="B221">
            <v>0</v>
          </cell>
          <cell r="C221">
            <v>0</v>
          </cell>
          <cell r="D221" t="str">
            <v>LOUÇAS SANITÁRIAS</v>
          </cell>
          <cell r="E221" t="str">
            <v/>
          </cell>
          <cell r="F221">
            <v>0</v>
          </cell>
          <cell r="G221" t="str">
            <v/>
          </cell>
          <cell r="H221" t="str">
            <v/>
          </cell>
          <cell r="I221">
            <v>0</v>
          </cell>
          <cell r="J221">
            <v>0</v>
          </cell>
        </row>
        <row r="222">
          <cell r="A222">
            <v>0</v>
          </cell>
          <cell r="B222">
            <v>0</v>
          </cell>
          <cell r="C222">
            <v>0</v>
          </cell>
          <cell r="D222" t="str">
            <v/>
          </cell>
          <cell r="E222" t="str">
            <v/>
          </cell>
          <cell r="F222">
            <v>0</v>
          </cell>
          <cell r="G222" t="str">
            <v/>
          </cell>
          <cell r="H222" t="str">
            <v/>
          </cell>
          <cell r="I222">
            <v>0</v>
          </cell>
          <cell r="J222">
            <v>0</v>
          </cell>
        </row>
        <row r="223">
          <cell r="A223" t="str">
            <v>2.1.1.5</v>
          </cell>
          <cell r="B223">
            <v>0</v>
          </cell>
          <cell r="C223">
            <v>0</v>
          </cell>
          <cell r="D223" t="str">
            <v>METAIS SANITÁRIOS</v>
          </cell>
          <cell r="E223" t="str">
            <v/>
          </cell>
          <cell r="F223">
            <v>0</v>
          </cell>
          <cell r="G223" t="str">
            <v/>
          </cell>
          <cell r="H223" t="str">
            <v/>
          </cell>
          <cell r="I223">
            <v>0</v>
          </cell>
          <cell r="J223">
            <v>0</v>
          </cell>
        </row>
        <row r="224">
          <cell r="A224">
            <v>0</v>
          </cell>
          <cell r="B224">
            <v>0</v>
          </cell>
          <cell r="C224">
            <v>0</v>
          </cell>
          <cell r="D224" t="str">
            <v/>
          </cell>
          <cell r="E224" t="str">
            <v/>
          </cell>
          <cell r="F224">
            <v>0</v>
          </cell>
          <cell r="G224" t="str">
            <v/>
          </cell>
          <cell r="H224" t="str">
            <v/>
          </cell>
          <cell r="I224">
            <v>0</v>
          </cell>
          <cell r="J224">
            <v>0</v>
          </cell>
        </row>
        <row r="225">
          <cell r="A225" t="str">
            <v>2.1.1.6</v>
          </cell>
          <cell r="B225">
            <v>0</v>
          </cell>
          <cell r="C225">
            <v>0</v>
          </cell>
          <cell r="D225" t="str">
            <v>CORRIMÃO</v>
          </cell>
          <cell r="E225" t="str">
            <v/>
          </cell>
          <cell r="F225">
            <v>0</v>
          </cell>
          <cell r="G225" t="str">
            <v/>
          </cell>
          <cell r="H225" t="str">
            <v/>
          </cell>
          <cell r="I225">
            <v>0</v>
          </cell>
          <cell r="J225">
            <v>0</v>
          </cell>
        </row>
        <row r="226">
          <cell r="A226">
            <v>0</v>
          </cell>
          <cell r="B226">
            <v>0</v>
          </cell>
          <cell r="C226">
            <v>0</v>
          </cell>
          <cell r="D226" t="str">
            <v/>
          </cell>
          <cell r="E226" t="str">
            <v/>
          </cell>
          <cell r="F226">
            <v>0</v>
          </cell>
          <cell r="G226" t="str">
            <v/>
          </cell>
          <cell r="H226" t="str">
            <v/>
          </cell>
          <cell r="I226">
            <v>0</v>
          </cell>
          <cell r="J226">
            <v>0</v>
          </cell>
        </row>
        <row r="227">
          <cell r="A227" t="str">
            <v>2.1.1.7</v>
          </cell>
          <cell r="B227">
            <v>0</v>
          </cell>
          <cell r="C227">
            <v>0</v>
          </cell>
          <cell r="D227" t="str">
            <v>ESQUADRIAS</v>
          </cell>
          <cell r="E227" t="str">
            <v/>
          </cell>
          <cell r="F227">
            <v>0</v>
          </cell>
          <cell r="G227" t="str">
            <v/>
          </cell>
          <cell r="H227" t="str">
            <v/>
          </cell>
          <cell r="I227">
            <v>0</v>
          </cell>
          <cell r="J227">
            <v>0</v>
          </cell>
        </row>
        <row r="228">
          <cell r="A228">
            <v>0</v>
          </cell>
          <cell r="B228">
            <v>0</v>
          </cell>
          <cell r="C228">
            <v>0</v>
          </cell>
          <cell r="D228" t="str">
            <v/>
          </cell>
          <cell r="E228" t="str">
            <v/>
          </cell>
          <cell r="F228">
            <v>0</v>
          </cell>
          <cell r="G228" t="str">
            <v/>
          </cell>
          <cell r="H228" t="str">
            <v/>
          </cell>
          <cell r="I228">
            <v>0</v>
          </cell>
          <cell r="J228">
            <v>0</v>
          </cell>
        </row>
        <row r="229">
          <cell r="A229" t="str">
            <v>2.1.1.8</v>
          </cell>
          <cell r="B229">
            <v>0</v>
          </cell>
          <cell r="C229">
            <v>0</v>
          </cell>
          <cell r="D229" t="str">
            <v>ESCADAS</v>
          </cell>
          <cell r="E229" t="str">
            <v/>
          </cell>
          <cell r="F229">
            <v>0</v>
          </cell>
          <cell r="G229" t="str">
            <v/>
          </cell>
          <cell r="H229" t="str">
            <v/>
          </cell>
          <cell r="I229">
            <v>0</v>
          </cell>
          <cell r="J229">
            <v>0</v>
          </cell>
        </row>
        <row r="230">
          <cell r="A230">
            <v>0</v>
          </cell>
          <cell r="B230">
            <v>0</v>
          </cell>
          <cell r="C230">
            <v>0</v>
          </cell>
          <cell r="D230" t="str">
            <v/>
          </cell>
          <cell r="E230" t="str">
            <v/>
          </cell>
          <cell r="F230">
            <v>0</v>
          </cell>
          <cell r="G230" t="str">
            <v/>
          </cell>
          <cell r="H230" t="str">
            <v/>
          </cell>
          <cell r="I230">
            <v>0</v>
          </cell>
          <cell r="J230">
            <v>0</v>
          </cell>
        </row>
        <row r="231">
          <cell r="A231" t="str">
            <v>2.1.1.9</v>
          </cell>
          <cell r="B231">
            <v>0</v>
          </cell>
          <cell r="C231">
            <v>0</v>
          </cell>
          <cell r="D231" t="str">
            <v>ITENS DIVERSOS</v>
          </cell>
          <cell r="E231" t="str">
            <v/>
          </cell>
          <cell r="F231">
            <v>0</v>
          </cell>
          <cell r="G231" t="str">
            <v/>
          </cell>
          <cell r="H231" t="str">
            <v/>
          </cell>
          <cell r="I231">
            <v>0</v>
          </cell>
          <cell r="J231">
            <v>0</v>
          </cell>
        </row>
        <row r="232">
          <cell r="A232">
            <v>0</v>
          </cell>
          <cell r="B232">
            <v>0</v>
          </cell>
          <cell r="C232">
            <v>0</v>
          </cell>
          <cell r="D232" t="str">
            <v/>
          </cell>
          <cell r="E232" t="str">
            <v/>
          </cell>
          <cell r="F232">
            <v>0</v>
          </cell>
          <cell r="G232" t="str">
            <v/>
          </cell>
          <cell r="H232" t="str">
            <v/>
          </cell>
          <cell r="I232">
            <v>0</v>
          </cell>
          <cell r="J232">
            <v>0</v>
          </cell>
        </row>
        <row r="233">
          <cell r="A233" t="str">
            <v>2.1.1.10</v>
          </cell>
          <cell r="B233">
            <v>0</v>
          </cell>
          <cell r="C233">
            <v>0</v>
          </cell>
          <cell r="D233" t="str">
            <v>GRANITO</v>
          </cell>
          <cell r="E233" t="str">
            <v/>
          </cell>
          <cell r="F233">
            <v>0</v>
          </cell>
          <cell r="G233" t="str">
            <v/>
          </cell>
          <cell r="H233" t="str">
            <v/>
          </cell>
          <cell r="I233">
            <v>0</v>
          </cell>
          <cell r="J233">
            <v>0</v>
          </cell>
        </row>
        <row r="234">
          <cell r="A234">
            <v>0</v>
          </cell>
          <cell r="B234">
            <v>0</v>
          </cell>
          <cell r="C234">
            <v>0</v>
          </cell>
          <cell r="D234" t="str">
            <v/>
          </cell>
          <cell r="E234" t="str">
            <v/>
          </cell>
          <cell r="F234">
            <v>0</v>
          </cell>
          <cell r="G234" t="str">
            <v/>
          </cell>
          <cell r="H234" t="str">
            <v/>
          </cell>
          <cell r="I234">
            <v>0</v>
          </cell>
          <cell r="J234">
            <v>0</v>
          </cell>
        </row>
        <row r="235">
          <cell r="A235" t="str">
            <v>2.1.2</v>
          </cell>
          <cell r="B235">
            <v>0</v>
          </cell>
          <cell r="C235">
            <v>0</v>
          </cell>
          <cell r="D235" t="str">
            <v>RESTAURO E INTERVENÇÃO</v>
          </cell>
          <cell r="E235" t="str">
            <v/>
          </cell>
          <cell r="F235">
            <v>0</v>
          </cell>
          <cell r="G235" t="str">
            <v/>
          </cell>
          <cell r="H235" t="str">
            <v/>
          </cell>
          <cell r="I235">
            <v>0</v>
          </cell>
          <cell r="J235">
            <v>0</v>
          </cell>
        </row>
        <row r="236">
          <cell r="A236">
            <v>0</v>
          </cell>
          <cell r="B236">
            <v>0</v>
          </cell>
          <cell r="C236">
            <v>0</v>
          </cell>
          <cell r="D236" t="str">
            <v/>
          </cell>
          <cell r="E236" t="str">
            <v/>
          </cell>
          <cell r="F236">
            <v>0</v>
          </cell>
          <cell r="G236" t="str">
            <v/>
          </cell>
          <cell r="H236" t="str">
            <v/>
          </cell>
          <cell r="I236">
            <v>0</v>
          </cell>
          <cell r="J236">
            <v>0</v>
          </cell>
        </row>
        <row r="237">
          <cell r="A237" t="str">
            <v>2.1.2.1</v>
          </cell>
          <cell r="B237">
            <v>0</v>
          </cell>
          <cell r="C237">
            <v>0</v>
          </cell>
          <cell r="D237" t="str">
            <v>PISO</v>
          </cell>
          <cell r="E237" t="str">
            <v/>
          </cell>
          <cell r="F237">
            <v>0</v>
          </cell>
          <cell r="G237" t="str">
            <v/>
          </cell>
          <cell r="H237" t="str">
            <v/>
          </cell>
          <cell r="I237">
            <v>0</v>
          </cell>
          <cell r="J237">
            <v>0</v>
          </cell>
        </row>
        <row r="238">
          <cell r="A238">
            <v>0</v>
          </cell>
          <cell r="B238">
            <v>0</v>
          </cell>
          <cell r="C238">
            <v>0</v>
          </cell>
          <cell r="D238" t="str">
            <v/>
          </cell>
          <cell r="E238" t="str">
            <v/>
          </cell>
          <cell r="F238">
            <v>0</v>
          </cell>
          <cell r="G238" t="str">
            <v/>
          </cell>
          <cell r="H238" t="str">
            <v/>
          </cell>
          <cell r="I238">
            <v>0</v>
          </cell>
          <cell r="J238">
            <v>0</v>
          </cell>
        </row>
        <row r="239">
          <cell r="A239" t="str">
            <v>2.1.2.2</v>
          </cell>
          <cell r="B239">
            <v>0</v>
          </cell>
          <cell r="C239">
            <v>0</v>
          </cell>
          <cell r="D239" t="str">
            <v>PAREDES</v>
          </cell>
          <cell r="E239" t="str">
            <v/>
          </cell>
          <cell r="F239">
            <v>0</v>
          </cell>
          <cell r="G239" t="str">
            <v/>
          </cell>
          <cell r="H239" t="str">
            <v/>
          </cell>
          <cell r="I239">
            <v>0</v>
          </cell>
          <cell r="J239">
            <v>0</v>
          </cell>
        </row>
        <row r="240">
          <cell r="A240">
            <v>0</v>
          </cell>
          <cell r="B240">
            <v>0</v>
          </cell>
          <cell r="C240">
            <v>0</v>
          </cell>
          <cell r="D240" t="str">
            <v/>
          </cell>
          <cell r="E240" t="str">
            <v/>
          </cell>
          <cell r="F240">
            <v>0</v>
          </cell>
          <cell r="G240" t="str">
            <v/>
          </cell>
          <cell r="H240" t="str">
            <v/>
          </cell>
          <cell r="I240">
            <v>0</v>
          </cell>
          <cell r="J240">
            <v>0</v>
          </cell>
        </row>
        <row r="241">
          <cell r="A241" t="str">
            <v>2.1.2.3</v>
          </cell>
          <cell r="B241">
            <v>0</v>
          </cell>
          <cell r="C241">
            <v>0</v>
          </cell>
          <cell r="D241" t="str">
            <v>ORNATOS</v>
          </cell>
          <cell r="E241" t="str">
            <v/>
          </cell>
          <cell r="F241">
            <v>0</v>
          </cell>
          <cell r="G241" t="str">
            <v/>
          </cell>
          <cell r="H241" t="str">
            <v/>
          </cell>
          <cell r="I241">
            <v>0</v>
          </cell>
          <cell r="J241">
            <v>0</v>
          </cell>
        </row>
        <row r="242">
          <cell r="A242">
            <v>0</v>
          </cell>
          <cell r="B242">
            <v>0</v>
          </cell>
          <cell r="C242">
            <v>0</v>
          </cell>
          <cell r="D242" t="str">
            <v/>
          </cell>
          <cell r="E242" t="str">
            <v/>
          </cell>
          <cell r="F242">
            <v>0</v>
          </cell>
          <cell r="G242" t="str">
            <v/>
          </cell>
          <cell r="H242" t="str">
            <v/>
          </cell>
          <cell r="I242">
            <v>0</v>
          </cell>
          <cell r="J242">
            <v>0</v>
          </cell>
        </row>
        <row r="243">
          <cell r="A243" t="str">
            <v>2.1.2.4</v>
          </cell>
          <cell r="B243">
            <v>0</v>
          </cell>
          <cell r="C243">
            <v>0</v>
          </cell>
          <cell r="D243" t="str">
            <v>ITENS DIVERSOS</v>
          </cell>
          <cell r="E243" t="str">
            <v/>
          </cell>
          <cell r="F243">
            <v>0</v>
          </cell>
          <cell r="G243" t="str">
            <v/>
          </cell>
          <cell r="H243" t="str">
            <v/>
          </cell>
          <cell r="I243">
            <v>0</v>
          </cell>
          <cell r="J243">
            <v>0</v>
          </cell>
        </row>
        <row r="244">
          <cell r="A244">
            <v>0</v>
          </cell>
          <cell r="B244">
            <v>0</v>
          </cell>
          <cell r="C244">
            <v>0</v>
          </cell>
          <cell r="D244" t="str">
            <v/>
          </cell>
          <cell r="E244" t="str">
            <v/>
          </cell>
          <cell r="F244">
            <v>0</v>
          </cell>
          <cell r="G244" t="str">
            <v/>
          </cell>
          <cell r="H244" t="str">
            <v/>
          </cell>
          <cell r="I244">
            <v>0</v>
          </cell>
          <cell r="J244">
            <v>0</v>
          </cell>
        </row>
        <row r="245">
          <cell r="A245" t="str">
            <v>2.1.3</v>
          </cell>
          <cell r="B245">
            <v>0</v>
          </cell>
          <cell r="C245">
            <v>0</v>
          </cell>
          <cell r="D245" t="str">
            <v>CONSTRUÇÕES</v>
          </cell>
          <cell r="E245" t="str">
            <v/>
          </cell>
          <cell r="F245">
            <v>0</v>
          </cell>
          <cell r="G245" t="str">
            <v/>
          </cell>
          <cell r="H245" t="str">
            <v/>
          </cell>
          <cell r="I245">
            <v>0</v>
          </cell>
          <cell r="J245">
            <v>0</v>
          </cell>
        </row>
        <row r="246">
          <cell r="A246">
            <v>0</v>
          </cell>
          <cell r="B246">
            <v>0</v>
          </cell>
          <cell r="C246">
            <v>0</v>
          </cell>
          <cell r="D246" t="str">
            <v/>
          </cell>
          <cell r="E246" t="str">
            <v/>
          </cell>
          <cell r="F246">
            <v>0</v>
          </cell>
          <cell r="G246" t="str">
            <v/>
          </cell>
          <cell r="H246" t="str">
            <v/>
          </cell>
          <cell r="I246">
            <v>0</v>
          </cell>
          <cell r="J246">
            <v>0</v>
          </cell>
        </row>
        <row r="247">
          <cell r="A247" t="str">
            <v>2.1.3.1</v>
          </cell>
          <cell r="B247">
            <v>0</v>
          </cell>
          <cell r="C247">
            <v>0</v>
          </cell>
          <cell r="D247" t="str">
            <v>PISO</v>
          </cell>
          <cell r="E247" t="str">
            <v/>
          </cell>
          <cell r="F247">
            <v>0</v>
          </cell>
          <cell r="G247" t="str">
            <v/>
          </cell>
          <cell r="H247" t="str">
            <v/>
          </cell>
          <cell r="I247">
            <v>0</v>
          </cell>
          <cell r="J247">
            <v>0</v>
          </cell>
        </row>
        <row r="248">
          <cell r="A248">
            <v>0</v>
          </cell>
          <cell r="B248">
            <v>0</v>
          </cell>
          <cell r="C248">
            <v>0</v>
          </cell>
          <cell r="D248" t="str">
            <v/>
          </cell>
          <cell r="E248" t="str">
            <v/>
          </cell>
          <cell r="F248">
            <v>0</v>
          </cell>
          <cell r="G248" t="str">
            <v/>
          </cell>
          <cell r="H248" t="str">
            <v/>
          </cell>
          <cell r="I248">
            <v>0</v>
          </cell>
          <cell r="J248">
            <v>0</v>
          </cell>
        </row>
        <row r="249">
          <cell r="A249" t="str">
            <v>2.1.3.1.1</v>
          </cell>
          <cell r="B249">
            <v>0</v>
          </cell>
          <cell r="C249">
            <v>0</v>
          </cell>
          <cell r="D249" t="str">
            <v>CONTRAPISO</v>
          </cell>
          <cell r="E249" t="str">
            <v/>
          </cell>
          <cell r="F249">
            <v>0</v>
          </cell>
          <cell r="G249" t="str">
            <v/>
          </cell>
          <cell r="H249" t="str">
            <v/>
          </cell>
          <cell r="I249">
            <v>0</v>
          </cell>
          <cell r="J249">
            <v>0</v>
          </cell>
        </row>
        <row r="250">
          <cell r="A250">
            <v>0</v>
          </cell>
          <cell r="B250">
            <v>0</v>
          </cell>
          <cell r="C250">
            <v>0</v>
          </cell>
          <cell r="D250" t="str">
            <v/>
          </cell>
          <cell r="E250" t="str">
            <v/>
          </cell>
          <cell r="F250">
            <v>0</v>
          </cell>
          <cell r="G250" t="str">
            <v/>
          </cell>
          <cell r="H250" t="str">
            <v/>
          </cell>
          <cell r="I250">
            <v>0</v>
          </cell>
          <cell r="J250">
            <v>0</v>
          </cell>
        </row>
        <row r="251">
          <cell r="A251" t="str">
            <v>2.1.3.1.2</v>
          </cell>
          <cell r="B251">
            <v>0</v>
          </cell>
          <cell r="C251">
            <v>0</v>
          </cell>
          <cell r="D251" t="str">
            <v>REVESTIMENTOS</v>
          </cell>
          <cell r="E251" t="str">
            <v/>
          </cell>
          <cell r="F251">
            <v>0</v>
          </cell>
          <cell r="G251" t="str">
            <v/>
          </cell>
          <cell r="H251" t="str">
            <v/>
          </cell>
          <cell r="I251">
            <v>0</v>
          </cell>
          <cell r="J251">
            <v>0</v>
          </cell>
        </row>
        <row r="252">
          <cell r="A252">
            <v>0</v>
          </cell>
          <cell r="B252">
            <v>0</v>
          </cell>
          <cell r="C252">
            <v>0</v>
          </cell>
          <cell r="D252" t="str">
            <v/>
          </cell>
          <cell r="E252" t="str">
            <v/>
          </cell>
          <cell r="F252">
            <v>0</v>
          </cell>
          <cell r="G252" t="str">
            <v/>
          </cell>
          <cell r="H252" t="str">
            <v/>
          </cell>
          <cell r="I252">
            <v>0</v>
          </cell>
          <cell r="J252">
            <v>0</v>
          </cell>
        </row>
        <row r="253">
          <cell r="A253" t="str">
            <v>2.1.3.2</v>
          </cell>
          <cell r="B253">
            <v>0</v>
          </cell>
          <cell r="C253">
            <v>0</v>
          </cell>
          <cell r="D253" t="str">
            <v>PAREDE</v>
          </cell>
          <cell r="E253" t="str">
            <v/>
          </cell>
          <cell r="F253">
            <v>0</v>
          </cell>
          <cell r="G253" t="str">
            <v/>
          </cell>
          <cell r="H253" t="str">
            <v/>
          </cell>
          <cell r="I253">
            <v>0</v>
          </cell>
          <cell r="J253">
            <v>0</v>
          </cell>
        </row>
        <row r="254">
          <cell r="A254">
            <v>0</v>
          </cell>
          <cell r="B254">
            <v>0</v>
          </cell>
          <cell r="C254">
            <v>0</v>
          </cell>
          <cell r="D254">
            <v>0</v>
          </cell>
          <cell r="E254">
            <v>0</v>
          </cell>
          <cell r="F254">
            <v>0</v>
          </cell>
          <cell r="G254">
            <v>0</v>
          </cell>
          <cell r="H254">
            <v>0</v>
          </cell>
          <cell r="I254">
            <v>0</v>
          </cell>
          <cell r="J254">
            <v>0</v>
          </cell>
        </row>
        <row r="255">
          <cell r="A255" t="str">
            <v>2.1.3.2.1</v>
          </cell>
          <cell r="B255">
            <v>0</v>
          </cell>
          <cell r="C255">
            <v>0</v>
          </cell>
          <cell r="D255" t="str">
            <v>ALVENARIA</v>
          </cell>
          <cell r="E255" t="str">
            <v/>
          </cell>
          <cell r="F255">
            <v>0</v>
          </cell>
          <cell r="G255" t="str">
            <v/>
          </cell>
          <cell r="H255" t="str">
            <v/>
          </cell>
          <cell r="I255">
            <v>0</v>
          </cell>
          <cell r="J255">
            <v>0</v>
          </cell>
        </row>
        <row r="256">
          <cell r="A256">
            <v>0</v>
          </cell>
          <cell r="B256">
            <v>0</v>
          </cell>
          <cell r="C256">
            <v>0</v>
          </cell>
          <cell r="D256" t="str">
            <v/>
          </cell>
          <cell r="E256" t="str">
            <v/>
          </cell>
          <cell r="F256">
            <v>0</v>
          </cell>
          <cell r="G256" t="str">
            <v/>
          </cell>
          <cell r="H256" t="str">
            <v/>
          </cell>
          <cell r="I256">
            <v>0</v>
          </cell>
          <cell r="J256">
            <v>0</v>
          </cell>
        </row>
        <row r="257">
          <cell r="A257" t="str">
            <v>2.1.3.2.2</v>
          </cell>
          <cell r="B257">
            <v>0</v>
          </cell>
          <cell r="C257">
            <v>0</v>
          </cell>
          <cell r="D257" t="str">
            <v>CHAPISCO</v>
          </cell>
          <cell r="E257" t="str">
            <v/>
          </cell>
          <cell r="F257">
            <v>0</v>
          </cell>
          <cell r="G257" t="str">
            <v/>
          </cell>
          <cell r="H257" t="str">
            <v/>
          </cell>
          <cell r="I257">
            <v>0</v>
          </cell>
          <cell r="J257">
            <v>0</v>
          </cell>
        </row>
        <row r="258">
          <cell r="A258">
            <v>0</v>
          </cell>
          <cell r="B258">
            <v>0</v>
          </cell>
          <cell r="C258">
            <v>0</v>
          </cell>
          <cell r="D258" t="str">
            <v/>
          </cell>
          <cell r="E258" t="str">
            <v/>
          </cell>
          <cell r="F258">
            <v>0</v>
          </cell>
          <cell r="G258" t="str">
            <v/>
          </cell>
          <cell r="H258" t="str">
            <v/>
          </cell>
          <cell r="I258">
            <v>0</v>
          </cell>
          <cell r="J258">
            <v>0</v>
          </cell>
        </row>
        <row r="259">
          <cell r="A259" t="str">
            <v>2.1.3.2.3</v>
          </cell>
          <cell r="B259">
            <v>0</v>
          </cell>
          <cell r="C259">
            <v>0</v>
          </cell>
          <cell r="D259" t="str">
            <v>EMBOÇO</v>
          </cell>
          <cell r="E259" t="str">
            <v/>
          </cell>
          <cell r="F259">
            <v>0</v>
          </cell>
          <cell r="G259" t="str">
            <v/>
          </cell>
          <cell r="H259" t="str">
            <v/>
          </cell>
          <cell r="I259">
            <v>0</v>
          </cell>
          <cell r="J259">
            <v>0</v>
          </cell>
        </row>
        <row r="260">
          <cell r="A260">
            <v>0</v>
          </cell>
          <cell r="B260">
            <v>0</v>
          </cell>
          <cell r="C260">
            <v>0</v>
          </cell>
          <cell r="D260" t="str">
            <v/>
          </cell>
          <cell r="E260" t="str">
            <v/>
          </cell>
          <cell r="F260">
            <v>0</v>
          </cell>
          <cell r="G260" t="str">
            <v/>
          </cell>
          <cell r="H260" t="str">
            <v/>
          </cell>
          <cell r="I260">
            <v>0</v>
          </cell>
          <cell r="J260">
            <v>0</v>
          </cell>
        </row>
        <row r="261">
          <cell r="A261" t="str">
            <v>2.1.3.2.4</v>
          </cell>
          <cell r="B261">
            <v>0</v>
          </cell>
          <cell r="C261">
            <v>0</v>
          </cell>
          <cell r="D261" t="str">
            <v>REVESTIMENTOS</v>
          </cell>
          <cell r="E261" t="str">
            <v/>
          </cell>
          <cell r="F261">
            <v>0</v>
          </cell>
          <cell r="G261" t="str">
            <v/>
          </cell>
          <cell r="H261" t="str">
            <v/>
          </cell>
          <cell r="I261">
            <v>0</v>
          </cell>
          <cell r="J261">
            <v>0</v>
          </cell>
        </row>
        <row r="262">
          <cell r="A262">
            <v>0</v>
          </cell>
          <cell r="B262">
            <v>0</v>
          </cell>
          <cell r="C262">
            <v>0</v>
          </cell>
          <cell r="D262" t="str">
            <v/>
          </cell>
          <cell r="E262" t="str">
            <v/>
          </cell>
          <cell r="F262">
            <v>0</v>
          </cell>
          <cell r="G262" t="str">
            <v/>
          </cell>
          <cell r="H262" t="str">
            <v/>
          </cell>
          <cell r="I262">
            <v>0</v>
          </cell>
          <cell r="J262">
            <v>0</v>
          </cell>
        </row>
        <row r="263">
          <cell r="A263" t="str">
            <v>2.1.3.3</v>
          </cell>
          <cell r="B263">
            <v>0</v>
          </cell>
          <cell r="C263">
            <v>0</v>
          </cell>
          <cell r="D263" t="str">
            <v>TETO</v>
          </cell>
          <cell r="E263" t="str">
            <v/>
          </cell>
          <cell r="F263">
            <v>0</v>
          </cell>
          <cell r="G263" t="str">
            <v/>
          </cell>
          <cell r="H263" t="str">
            <v/>
          </cell>
          <cell r="I263">
            <v>0</v>
          </cell>
          <cell r="J263">
            <v>0</v>
          </cell>
        </row>
        <row r="264">
          <cell r="A264">
            <v>0</v>
          </cell>
          <cell r="B264">
            <v>0</v>
          </cell>
          <cell r="C264">
            <v>0</v>
          </cell>
          <cell r="D264" t="str">
            <v/>
          </cell>
          <cell r="E264" t="str">
            <v/>
          </cell>
          <cell r="F264">
            <v>0</v>
          </cell>
          <cell r="G264" t="str">
            <v/>
          </cell>
          <cell r="H264" t="str">
            <v/>
          </cell>
          <cell r="I264">
            <v>0</v>
          </cell>
          <cell r="J264">
            <v>0</v>
          </cell>
        </row>
        <row r="265">
          <cell r="A265" t="str">
            <v>2.1.3.3.1</v>
          </cell>
          <cell r="B265">
            <v>0</v>
          </cell>
          <cell r="C265">
            <v>0</v>
          </cell>
          <cell r="D265" t="str">
            <v xml:space="preserve">FORRO </v>
          </cell>
          <cell r="E265" t="str">
            <v/>
          </cell>
          <cell r="F265">
            <v>0</v>
          </cell>
          <cell r="G265" t="str">
            <v/>
          </cell>
          <cell r="H265" t="str">
            <v/>
          </cell>
          <cell r="I265">
            <v>0</v>
          </cell>
          <cell r="J265">
            <v>0</v>
          </cell>
        </row>
        <row r="266">
          <cell r="A266">
            <v>0</v>
          </cell>
          <cell r="B266">
            <v>0</v>
          </cell>
          <cell r="C266">
            <v>0</v>
          </cell>
          <cell r="D266" t="str">
            <v/>
          </cell>
          <cell r="E266" t="str">
            <v/>
          </cell>
          <cell r="F266">
            <v>0</v>
          </cell>
          <cell r="G266" t="str">
            <v/>
          </cell>
          <cell r="H266" t="str">
            <v/>
          </cell>
          <cell r="I266">
            <v>0</v>
          </cell>
          <cell r="J266">
            <v>0</v>
          </cell>
        </row>
        <row r="267">
          <cell r="A267" t="str">
            <v>2.1.3.3.2</v>
          </cell>
          <cell r="B267">
            <v>0</v>
          </cell>
          <cell r="C267">
            <v>0</v>
          </cell>
          <cell r="D267" t="str">
            <v>COBERTA</v>
          </cell>
          <cell r="E267" t="str">
            <v/>
          </cell>
          <cell r="F267">
            <v>0</v>
          </cell>
          <cell r="G267" t="str">
            <v/>
          </cell>
          <cell r="H267" t="str">
            <v/>
          </cell>
          <cell r="I267">
            <v>0</v>
          </cell>
          <cell r="J267">
            <v>0</v>
          </cell>
        </row>
        <row r="268">
          <cell r="A268">
            <v>0</v>
          </cell>
          <cell r="B268">
            <v>0</v>
          </cell>
          <cell r="C268">
            <v>0</v>
          </cell>
          <cell r="D268" t="str">
            <v/>
          </cell>
          <cell r="E268" t="str">
            <v/>
          </cell>
          <cell r="F268">
            <v>0</v>
          </cell>
          <cell r="G268" t="str">
            <v/>
          </cell>
          <cell r="H268" t="str">
            <v/>
          </cell>
          <cell r="I268">
            <v>0</v>
          </cell>
          <cell r="J268">
            <v>0</v>
          </cell>
        </row>
        <row r="269">
          <cell r="A269" t="str">
            <v>2.1.3.4</v>
          </cell>
          <cell r="B269">
            <v>0</v>
          </cell>
          <cell r="C269">
            <v>0</v>
          </cell>
          <cell r="D269" t="str">
            <v>LOUÇAS SANITÁRIAS</v>
          </cell>
          <cell r="E269" t="str">
            <v/>
          </cell>
          <cell r="F269">
            <v>0</v>
          </cell>
          <cell r="G269" t="str">
            <v/>
          </cell>
          <cell r="H269" t="str">
            <v/>
          </cell>
          <cell r="I269">
            <v>0</v>
          </cell>
          <cell r="J269">
            <v>0</v>
          </cell>
        </row>
        <row r="270">
          <cell r="A270">
            <v>0</v>
          </cell>
          <cell r="B270">
            <v>0</v>
          </cell>
          <cell r="C270">
            <v>0</v>
          </cell>
          <cell r="D270">
            <v>0</v>
          </cell>
          <cell r="E270">
            <v>0</v>
          </cell>
          <cell r="F270">
            <v>0</v>
          </cell>
          <cell r="G270">
            <v>0</v>
          </cell>
          <cell r="H270">
            <v>0</v>
          </cell>
          <cell r="I270">
            <v>0</v>
          </cell>
          <cell r="J270">
            <v>0</v>
          </cell>
        </row>
        <row r="271">
          <cell r="A271">
            <v>0</v>
          </cell>
          <cell r="B271">
            <v>0</v>
          </cell>
          <cell r="C271">
            <v>0</v>
          </cell>
          <cell r="D271" t="str">
            <v/>
          </cell>
          <cell r="E271" t="str">
            <v/>
          </cell>
          <cell r="F271">
            <v>0</v>
          </cell>
          <cell r="G271" t="str">
            <v/>
          </cell>
          <cell r="H271" t="str">
            <v/>
          </cell>
          <cell r="I271">
            <v>0</v>
          </cell>
          <cell r="J271">
            <v>0</v>
          </cell>
        </row>
        <row r="272">
          <cell r="A272" t="str">
            <v>2.1.3.5</v>
          </cell>
          <cell r="B272">
            <v>0</v>
          </cell>
          <cell r="C272">
            <v>0</v>
          </cell>
          <cell r="D272" t="str">
            <v>METAIS SANITÁRIOS</v>
          </cell>
          <cell r="E272" t="str">
            <v/>
          </cell>
          <cell r="F272">
            <v>0</v>
          </cell>
          <cell r="G272" t="str">
            <v/>
          </cell>
          <cell r="H272" t="str">
            <v/>
          </cell>
          <cell r="I272">
            <v>0</v>
          </cell>
          <cell r="J272">
            <v>0</v>
          </cell>
        </row>
        <row r="273">
          <cell r="A273">
            <v>0</v>
          </cell>
          <cell r="B273">
            <v>0</v>
          </cell>
          <cell r="C273">
            <v>0</v>
          </cell>
          <cell r="D273" t="str">
            <v/>
          </cell>
          <cell r="E273" t="str">
            <v/>
          </cell>
          <cell r="F273">
            <v>0</v>
          </cell>
          <cell r="G273" t="str">
            <v/>
          </cell>
          <cell r="H273" t="str">
            <v/>
          </cell>
          <cell r="I273">
            <v>0</v>
          </cell>
          <cell r="J273">
            <v>0</v>
          </cell>
        </row>
        <row r="274">
          <cell r="A274">
            <v>0</v>
          </cell>
          <cell r="B274">
            <v>0</v>
          </cell>
          <cell r="C274">
            <v>0</v>
          </cell>
          <cell r="D274" t="str">
            <v/>
          </cell>
          <cell r="E274" t="str">
            <v/>
          </cell>
          <cell r="F274">
            <v>0</v>
          </cell>
          <cell r="G274" t="str">
            <v/>
          </cell>
          <cell r="H274" t="str">
            <v/>
          </cell>
          <cell r="I274">
            <v>0</v>
          </cell>
          <cell r="J274">
            <v>0</v>
          </cell>
        </row>
        <row r="275">
          <cell r="A275" t="str">
            <v>2.1.3.6</v>
          </cell>
          <cell r="B275">
            <v>0</v>
          </cell>
          <cell r="C275">
            <v>0</v>
          </cell>
          <cell r="D275" t="str">
            <v>GRANITO</v>
          </cell>
          <cell r="E275" t="str">
            <v/>
          </cell>
          <cell r="F275">
            <v>0</v>
          </cell>
          <cell r="G275" t="str">
            <v/>
          </cell>
          <cell r="H275" t="str">
            <v/>
          </cell>
          <cell r="I275">
            <v>0</v>
          </cell>
          <cell r="J275">
            <v>0</v>
          </cell>
        </row>
        <row r="276">
          <cell r="A276">
            <v>0</v>
          </cell>
          <cell r="B276">
            <v>0</v>
          </cell>
          <cell r="C276">
            <v>0</v>
          </cell>
          <cell r="D276" t="str">
            <v/>
          </cell>
          <cell r="E276" t="str">
            <v/>
          </cell>
          <cell r="F276">
            <v>0</v>
          </cell>
          <cell r="G276" t="str">
            <v/>
          </cell>
          <cell r="H276" t="str">
            <v/>
          </cell>
          <cell r="I276">
            <v>0</v>
          </cell>
          <cell r="J276">
            <v>0</v>
          </cell>
        </row>
        <row r="277">
          <cell r="A277">
            <v>0</v>
          </cell>
          <cell r="B277">
            <v>0</v>
          </cell>
          <cell r="C277">
            <v>0</v>
          </cell>
          <cell r="D277" t="str">
            <v/>
          </cell>
          <cell r="E277" t="str">
            <v/>
          </cell>
          <cell r="F277">
            <v>0</v>
          </cell>
          <cell r="G277" t="str">
            <v/>
          </cell>
          <cell r="H277" t="str">
            <v/>
          </cell>
          <cell r="I277">
            <v>0</v>
          </cell>
          <cell r="J277">
            <v>0</v>
          </cell>
        </row>
        <row r="278">
          <cell r="A278" t="str">
            <v>2.1.3.7</v>
          </cell>
          <cell r="B278">
            <v>0</v>
          </cell>
          <cell r="C278">
            <v>0</v>
          </cell>
          <cell r="D278" t="str">
            <v>VIDRO / ESPELHO</v>
          </cell>
          <cell r="E278" t="str">
            <v/>
          </cell>
          <cell r="F278">
            <v>0</v>
          </cell>
          <cell r="G278" t="str">
            <v/>
          </cell>
          <cell r="H278" t="str">
            <v/>
          </cell>
          <cell r="I278">
            <v>0</v>
          </cell>
          <cell r="J278">
            <v>0</v>
          </cell>
        </row>
        <row r="279">
          <cell r="A279">
            <v>0</v>
          </cell>
          <cell r="B279">
            <v>0</v>
          </cell>
          <cell r="C279">
            <v>0</v>
          </cell>
          <cell r="D279" t="str">
            <v/>
          </cell>
          <cell r="E279" t="str">
            <v/>
          </cell>
          <cell r="F279">
            <v>0</v>
          </cell>
          <cell r="G279" t="str">
            <v/>
          </cell>
          <cell r="H279" t="str">
            <v/>
          </cell>
          <cell r="I279">
            <v>0</v>
          </cell>
          <cell r="J279">
            <v>0</v>
          </cell>
        </row>
        <row r="280">
          <cell r="A280">
            <v>0</v>
          </cell>
          <cell r="B280">
            <v>0</v>
          </cell>
          <cell r="C280">
            <v>0</v>
          </cell>
          <cell r="D280" t="str">
            <v/>
          </cell>
          <cell r="E280" t="str">
            <v/>
          </cell>
          <cell r="F280">
            <v>0</v>
          </cell>
          <cell r="G280" t="str">
            <v/>
          </cell>
          <cell r="H280" t="str">
            <v/>
          </cell>
          <cell r="I280">
            <v>0</v>
          </cell>
          <cell r="J280">
            <v>0</v>
          </cell>
        </row>
        <row r="281">
          <cell r="A281" t="str">
            <v>2.1.3.8</v>
          </cell>
          <cell r="B281">
            <v>0</v>
          </cell>
          <cell r="C281">
            <v>0</v>
          </cell>
          <cell r="D281" t="str">
            <v>COMPLEMENTOS</v>
          </cell>
          <cell r="E281" t="str">
            <v/>
          </cell>
          <cell r="F281">
            <v>0</v>
          </cell>
          <cell r="G281" t="str">
            <v/>
          </cell>
          <cell r="H281" t="str">
            <v/>
          </cell>
          <cell r="I281">
            <v>0</v>
          </cell>
          <cell r="J281">
            <v>0</v>
          </cell>
        </row>
        <row r="282">
          <cell r="A282">
            <v>0</v>
          </cell>
          <cell r="B282">
            <v>0</v>
          </cell>
          <cell r="C282">
            <v>0</v>
          </cell>
          <cell r="D282" t="str">
            <v/>
          </cell>
          <cell r="E282" t="str">
            <v/>
          </cell>
          <cell r="F282">
            <v>0</v>
          </cell>
          <cell r="G282" t="str">
            <v/>
          </cell>
          <cell r="H282" t="str">
            <v/>
          </cell>
          <cell r="I282">
            <v>0</v>
          </cell>
          <cell r="J282">
            <v>0</v>
          </cell>
        </row>
        <row r="283">
          <cell r="A283">
            <v>0</v>
          </cell>
          <cell r="B283">
            <v>0</v>
          </cell>
          <cell r="C283">
            <v>0</v>
          </cell>
          <cell r="D283" t="str">
            <v/>
          </cell>
          <cell r="E283" t="str">
            <v/>
          </cell>
          <cell r="F283">
            <v>0</v>
          </cell>
          <cell r="G283" t="str">
            <v/>
          </cell>
          <cell r="H283" t="str">
            <v/>
          </cell>
          <cell r="I283">
            <v>0</v>
          </cell>
          <cell r="J283">
            <v>0</v>
          </cell>
        </row>
        <row r="284">
          <cell r="A284" t="str">
            <v>2.1.3.9</v>
          </cell>
          <cell r="B284">
            <v>0</v>
          </cell>
          <cell r="C284">
            <v>0</v>
          </cell>
          <cell r="D284" t="str">
            <v>EQUIPAMENTOS</v>
          </cell>
          <cell r="E284" t="str">
            <v/>
          </cell>
          <cell r="F284">
            <v>0</v>
          </cell>
          <cell r="G284" t="str">
            <v/>
          </cell>
          <cell r="H284" t="str">
            <v/>
          </cell>
          <cell r="I284">
            <v>0</v>
          </cell>
          <cell r="J284">
            <v>0</v>
          </cell>
        </row>
        <row r="285">
          <cell r="A285">
            <v>0</v>
          </cell>
          <cell r="B285">
            <v>0</v>
          </cell>
          <cell r="C285">
            <v>0</v>
          </cell>
          <cell r="D285" t="str">
            <v/>
          </cell>
          <cell r="E285" t="str">
            <v/>
          </cell>
          <cell r="F285">
            <v>0</v>
          </cell>
          <cell r="G285" t="str">
            <v/>
          </cell>
          <cell r="H285" t="str">
            <v/>
          </cell>
          <cell r="I285">
            <v>0</v>
          </cell>
          <cell r="J285">
            <v>0</v>
          </cell>
        </row>
        <row r="286">
          <cell r="A286">
            <v>0</v>
          </cell>
          <cell r="B286">
            <v>0</v>
          </cell>
          <cell r="C286">
            <v>0</v>
          </cell>
          <cell r="D286" t="str">
            <v/>
          </cell>
          <cell r="E286" t="str">
            <v/>
          </cell>
          <cell r="F286">
            <v>0</v>
          </cell>
          <cell r="G286" t="str">
            <v/>
          </cell>
          <cell r="H286" t="str">
            <v/>
          </cell>
          <cell r="I286">
            <v>0</v>
          </cell>
          <cell r="J286">
            <v>0</v>
          </cell>
        </row>
        <row r="287">
          <cell r="A287" t="str">
            <v>2.1.3.10</v>
          </cell>
          <cell r="B287">
            <v>0</v>
          </cell>
          <cell r="C287">
            <v>0</v>
          </cell>
          <cell r="D287" t="str">
            <v>CAIXA D'ÁGUA</v>
          </cell>
          <cell r="E287" t="str">
            <v/>
          </cell>
          <cell r="F287">
            <v>0</v>
          </cell>
          <cell r="G287" t="str">
            <v/>
          </cell>
          <cell r="H287" t="str">
            <v/>
          </cell>
          <cell r="I287">
            <v>0</v>
          </cell>
          <cell r="J287">
            <v>0</v>
          </cell>
        </row>
        <row r="288">
          <cell r="A288">
            <v>0</v>
          </cell>
          <cell r="B288">
            <v>0</v>
          </cell>
          <cell r="C288">
            <v>0</v>
          </cell>
          <cell r="D288" t="str">
            <v/>
          </cell>
          <cell r="E288" t="str">
            <v/>
          </cell>
          <cell r="F288">
            <v>0</v>
          </cell>
          <cell r="G288" t="str">
            <v/>
          </cell>
          <cell r="H288" t="str">
            <v/>
          </cell>
          <cell r="I288">
            <v>0</v>
          </cell>
          <cell r="J288">
            <v>0</v>
          </cell>
        </row>
        <row r="289">
          <cell r="A289">
            <v>0</v>
          </cell>
          <cell r="B289">
            <v>0</v>
          </cell>
          <cell r="C289">
            <v>0</v>
          </cell>
          <cell r="D289" t="str">
            <v/>
          </cell>
          <cell r="E289" t="str">
            <v/>
          </cell>
          <cell r="F289">
            <v>0</v>
          </cell>
          <cell r="G289" t="str">
            <v/>
          </cell>
          <cell r="H289" t="str">
            <v/>
          </cell>
          <cell r="I289">
            <v>0</v>
          </cell>
          <cell r="J289">
            <v>0</v>
          </cell>
        </row>
        <row r="290">
          <cell r="A290" t="str">
            <v>2.1.3.11</v>
          </cell>
          <cell r="B290">
            <v>0</v>
          </cell>
          <cell r="C290">
            <v>0</v>
          </cell>
          <cell r="D290" t="str">
            <v>GUARDA-CORPO/CORRIMÃO</v>
          </cell>
          <cell r="E290" t="str">
            <v/>
          </cell>
          <cell r="F290">
            <v>0</v>
          </cell>
          <cell r="G290" t="str">
            <v/>
          </cell>
          <cell r="H290" t="str">
            <v/>
          </cell>
          <cell r="I290">
            <v>0</v>
          </cell>
          <cell r="J290">
            <v>0</v>
          </cell>
        </row>
        <row r="291">
          <cell r="A291">
            <v>0</v>
          </cell>
          <cell r="B291">
            <v>0</v>
          </cell>
          <cell r="C291">
            <v>0</v>
          </cell>
          <cell r="D291" t="str">
            <v/>
          </cell>
          <cell r="E291" t="str">
            <v/>
          </cell>
          <cell r="F291">
            <v>0</v>
          </cell>
          <cell r="G291" t="str">
            <v/>
          </cell>
          <cell r="H291" t="str">
            <v/>
          </cell>
          <cell r="I291">
            <v>0</v>
          </cell>
          <cell r="J291">
            <v>0</v>
          </cell>
        </row>
        <row r="292">
          <cell r="A292">
            <v>0</v>
          </cell>
          <cell r="B292">
            <v>0</v>
          </cell>
          <cell r="C292">
            <v>0</v>
          </cell>
          <cell r="D292" t="str">
            <v/>
          </cell>
          <cell r="E292" t="str">
            <v/>
          </cell>
          <cell r="F292">
            <v>0</v>
          </cell>
          <cell r="G292" t="str">
            <v/>
          </cell>
          <cell r="H292" t="str">
            <v/>
          </cell>
          <cell r="I292">
            <v>0</v>
          </cell>
          <cell r="J292">
            <v>0</v>
          </cell>
        </row>
        <row r="293">
          <cell r="A293" t="str">
            <v>2.1.3.12</v>
          </cell>
          <cell r="B293">
            <v>0</v>
          </cell>
          <cell r="C293">
            <v>0</v>
          </cell>
          <cell r="D293" t="str">
            <v>MARCENARIA</v>
          </cell>
          <cell r="E293" t="str">
            <v/>
          </cell>
          <cell r="F293">
            <v>0</v>
          </cell>
          <cell r="G293" t="str">
            <v/>
          </cell>
          <cell r="H293" t="str">
            <v/>
          </cell>
          <cell r="I293">
            <v>0</v>
          </cell>
          <cell r="J293">
            <v>0</v>
          </cell>
        </row>
        <row r="294">
          <cell r="A294">
            <v>0</v>
          </cell>
          <cell r="B294">
            <v>0</v>
          </cell>
          <cell r="C294">
            <v>0</v>
          </cell>
          <cell r="D294" t="str">
            <v/>
          </cell>
          <cell r="E294" t="str">
            <v/>
          </cell>
          <cell r="F294">
            <v>0</v>
          </cell>
          <cell r="G294" t="str">
            <v/>
          </cell>
          <cell r="H294" t="str">
            <v/>
          </cell>
          <cell r="I294">
            <v>0</v>
          </cell>
          <cell r="J294">
            <v>0</v>
          </cell>
        </row>
        <row r="295">
          <cell r="A295">
            <v>0</v>
          </cell>
          <cell r="B295">
            <v>0</v>
          </cell>
          <cell r="C295">
            <v>0</v>
          </cell>
          <cell r="D295" t="str">
            <v/>
          </cell>
          <cell r="E295" t="str">
            <v/>
          </cell>
          <cell r="F295">
            <v>0</v>
          </cell>
          <cell r="G295" t="str">
            <v/>
          </cell>
          <cell r="H295" t="str">
            <v/>
          </cell>
          <cell r="I295">
            <v>0</v>
          </cell>
          <cell r="J295">
            <v>0</v>
          </cell>
        </row>
        <row r="296">
          <cell r="A296" t="str">
            <v>2.1.3.13</v>
          </cell>
          <cell r="B296">
            <v>0</v>
          </cell>
          <cell r="C296">
            <v>0</v>
          </cell>
          <cell r="D296" t="str">
            <v>MOBILIÁRIO</v>
          </cell>
          <cell r="E296" t="str">
            <v/>
          </cell>
          <cell r="F296">
            <v>0</v>
          </cell>
          <cell r="G296" t="str">
            <v/>
          </cell>
          <cell r="H296" t="str">
            <v/>
          </cell>
          <cell r="I296">
            <v>0</v>
          </cell>
          <cell r="J296">
            <v>0</v>
          </cell>
        </row>
        <row r="297">
          <cell r="A297">
            <v>0</v>
          </cell>
          <cell r="B297">
            <v>0</v>
          </cell>
          <cell r="C297">
            <v>0</v>
          </cell>
          <cell r="D297" t="str">
            <v/>
          </cell>
          <cell r="E297" t="str">
            <v/>
          </cell>
          <cell r="F297">
            <v>0</v>
          </cell>
          <cell r="G297" t="str">
            <v/>
          </cell>
          <cell r="H297" t="str">
            <v/>
          </cell>
          <cell r="I297">
            <v>0</v>
          </cell>
          <cell r="J297">
            <v>0</v>
          </cell>
        </row>
        <row r="298">
          <cell r="A298">
            <v>0</v>
          </cell>
          <cell r="B298">
            <v>0</v>
          </cell>
          <cell r="C298">
            <v>0</v>
          </cell>
          <cell r="D298" t="str">
            <v/>
          </cell>
          <cell r="E298" t="str">
            <v/>
          </cell>
          <cell r="F298">
            <v>0</v>
          </cell>
          <cell r="G298" t="str">
            <v/>
          </cell>
          <cell r="H298" t="str">
            <v/>
          </cell>
          <cell r="I298">
            <v>0</v>
          </cell>
          <cell r="J298">
            <v>0</v>
          </cell>
        </row>
        <row r="299">
          <cell r="A299" t="str">
            <v>2.1.3.14</v>
          </cell>
          <cell r="B299">
            <v>0</v>
          </cell>
          <cell r="C299">
            <v>0</v>
          </cell>
          <cell r="D299" t="str">
            <v>ESCADAS</v>
          </cell>
          <cell r="E299" t="str">
            <v/>
          </cell>
          <cell r="F299">
            <v>0</v>
          </cell>
          <cell r="G299" t="str">
            <v/>
          </cell>
          <cell r="H299" t="str">
            <v/>
          </cell>
          <cell r="I299">
            <v>0</v>
          </cell>
          <cell r="J299">
            <v>0</v>
          </cell>
        </row>
        <row r="300">
          <cell r="A300">
            <v>0</v>
          </cell>
          <cell r="B300">
            <v>0</v>
          </cell>
          <cell r="C300">
            <v>0</v>
          </cell>
          <cell r="D300" t="str">
            <v/>
          </cell>
          <cell r="E300" t="str">
            <v/>
          </cell>
          <cell r="F300">
            <v>0</v>
          </cell>
          <cell r="G300" t="str">
            <v/>
          </cell>
          <cell r="H300" t="str">
            <v/>
          </cell>
          <cell r="I300">
            <v>0</v>
          </cell>
          <cell r="J300">
            <v>0</v>
          </cell>
        </row>
        <row r="301">
          <cell r="A301">
            <v>0</v>
          </cell>
          <cell r="B301">
            <v>0</v>
          </cell>
          <cell r="C301">
            <v>0</v>
          </cell>
          <cell r="D301" t="str">
            <v/>
          </cell>
          <cell r="E301" t="str">
            <v/>
          </cell>
          <cell r="F301">
            <v>0</v>
          </cell>
          <cell r="G301" t="str">
            <v/>
          </cell>
          <cell r="H301" t="str">
            <v/>
          </cell>
          <cell r="I301">
            <v>0</v>
          </cell>
          <cell r="J301">
            <v>0</v>
          </cell>
        </row>
        <row r="302">
          <cell r="A302" t="str">
            <v>2.1.3.15</v>
          </cell>
          <cell r="B302">
            <v>0</v>
          </cell>
          <cell r="C302">
            <v>0</v>
          </cell>
          <cell r="D302" t="str">
            <v>ESQUADRIAS/FERRAGENS</v>
          </cell>
          <cell r="E302" t="str">
            <v/>
          </cell>
          <cell r="F302">
            <v>0</v>
          </cell>
          <cell r="G302" t="str">
            <v/>
          </cell>
          <cell r="H302" t="str">
            <v/>
          </cell>
          <cell r="I302">
            <v>0</v>
          </cell>
          <cell r="J302">
            <v>0</v>
          </cell>
        </row>
        <row r="303">
          <cell r="A303">
            <v>0</v>
          </cell>
          <cell r="B303">
            <v>0</v>
          </cell>
          <cell r="C303">
            <v>0</v>
          </cell>
          <cell r="D303" t="str">
            <v/>
          </cell>
          <cell r="E303" t="str">
            <v/>
          </cell>
          <cell r="F303">
            <v>0</v>
          </cell>
          <cell r="G303" t="str">
            <v/>
          </cell>
          <cell r="H303" t="str">
            <v/>
          </cell>
          <cell r="I303">
            <v>0</v>
          </cell>
          <cell r="J303">
            <v>0</v>
          </cell>
        </row>
        <row r="304">
          <cell r="A304" t="str">
            <v>2.1.3.15.1</v>
          </cell>
          <cell r="B304">
            <v>0</v>
          </cell>
          <cell r="C304">
            <v>0</v>
          </cell>
          <cell r="D304" t="str">
            <v>PORTAS</v>
          </cell>
          <cell r="E304" t="str">
            <v/>
          </cell>
          <cell r="F304">
            <v>0</v>
          </cell>
          <cell r="G304" t="str">
            <v/>
          </cell>
          <cell r="H304" t="str">
            <v/>
          </cell>
          <cell r="I304">
            <v>0</v>
          </cell>
          <cell r="J304">
            <v>0</v>
          </cell>
        </row>
        <row r="305">
          <cell r="A305">
            <v>0</v>
          </cell>
          <cell r="B305">
            <v>0</v>
          </cell>
          <cell r="C305">
            <v>0</v>
          </cell>
          <cell r="D305" t="str">
            <v/>
          </cell>
          <cell r="E305" t="str">
            <v/>
          </cell>
          <cell r="F305">
            <v>0</v>
          </cell>
          <cell r="G305" t="str">
            <v/>
          </cell>
          <cell r="H305" t="str">
            <v/>
          </cell>
          <cell r="I305">
            <v>0</v>
          </cell>
          <cell r="J305">
            <v>0</v>
          </cell>
        </row>
        <row r="306">
          <cell r="A306" t="str">
            <v>2.1.3.15.2</v>
          </cell>
          <cell r="B306">
            <v>0</v>
          </cell>
          <cell r="C306">
            <v>0</v>
          </cell>
          <cell r="D306" t="str">
            <v>JANELAS</v>
          </cell>
          <cell r="E306" t="str">
            <v/>
          </cell>
          <cell r="F306">
            <v>0</v>
          </cell>
          <cell r="G306" t="str">
            <v/>
          </cell>
          <cell r="H306" t="str">
            <v/>
          </cell>
          <cell r="I306">
            <v>0</v>
          </cell>
          <cell r="J306">
            <v>0</v>
          </cell>
        </row>
        <row r="307">
          <cell r="A307">
            <v>0</v>
          </cell>
          <cell r="B307">
            <v>0</v>
          </cell>
          <cell r="C307">
            <v>0</v>
          </cell>
          <cell r="D307" t="str">
            <v/>
          </cell>
          <cell r="E307" t="str">
            <v/>
          </cell>
          <cell r="F307">
            <v>0</v>
          </cell>
          <cell r="G307" t="str">
            <v/>
          </cell>
          <cell r="H307" t="str">
            <v/>
          </cell>
          <cell r="I307">
            <v>0</v>
          </cell>
          <cell r="J307">
            <v>0</v>
          </cell>
        </row>
        <row r="308">
          <cell r="A308" t="str">
            <v>2.1.3.15.3</v>
          </cell>
          <cell r="B308">
            <v>0</v>
          </cell>
          <cell r="C308">
            <v>0</v>
          </cell>
          <cell r="D308" t="str">
            <v>GRADES</v>
          </cell>
          <cell r="E308" t="str">
            <v/>
          </cell>
          <cell r="F308">
            <v>0</v>
          </cell>
          <cell r="G308" t="str">
            <v/>
          </cell>
          <cell r="H308" t="str">
            <v/>
          </cell>
          <cell r="I308">
            <v>0</v>
          </cell>
          <cell r="J308">
            <v>0</v>
          </cell>
        </row>
        <row r="309">
          <cell r="A309">
            <v>0</v>
          </cell>
          <cell r="B309">
            <v>0</v>
          </cell>
          <cell r="C309">
            <v>0</v>
          </cell>
          <cell r="D309" t="str">
            <v/>
          </cell>
          <cell r="E309" t="str">
            <v/>
          </cell>
          <cell r="F309">
            <v>0</v>
          </cell>
          <cell r="G309" t="str">
            <v/>
          </cell>
          <cell r="H309" t="str">
            <v/>
          </cell>
          <cell r="I309">
            <v>0</v>
          </cell>
          <cell r="J309">
            <v>0</v>
          </cell>
        </row>
        <row r="310">
          <cell r="A310" t="str">
            <v>2.1.3.15.4</v>
          </cell>
          <cell r="B310">
            <v>0</v>
          </cell>
          <cell r="C310">
            <v>0</v>
          </cell>
          <cell r="D310" t="str">
            <v>DIVISÓRIAS</v>
          </cell>
          <cell r="E310" t="str">
            <v/>
          </cell>
          <cell r="F310">
            <v>0</v>
          </cell>
          <cell r="G310" t="str">
            <v/>
          </cell>
          <cell r="H310" t="str">
            <v/>
          </cell>
          <cell r="I310">
            <v>0</v>
          </cell>
          <cell r="J310">
            <v>0</v>
          </cell>
        </row>
        <row r="311">
          <cell r="A311">
            <v>0</v>
          </cell>
          <cell r="B311">
            <v>0</v>
          </cell>
          <cell r="C311">
            <v>0</v>
          </cell>
          <cell r="D311" t="str">
            <v/>
          </cell>
          <cell r="E311" t="str">
            <v/>
          </cell>
          <cell r="F311">
            <v>0</v>
          </cell>
          <cell r="G311" t="str">
            <v/>
          </cell>
          <cell r="H311" t="str">
            <v/>
          </cell>
          <cell r="I311">
            <v>0</v>
          </cell>
          <cell r="J311">
            <v>0</v>
          </cell>
        </row>
        <row r="312">
          <cell r="A312" t="str">
            <v>2.1.3.15.5</v>
          </cell>
          <cell r="B312">
            <v>0</v>
          </cell>
          <cell r="C312">
            <v>0</v>
          </cell>
          <cell r="D312" t="str">
            <v>VÃOS</v>
          </cell>
          <cell r="E312" t="str">
            <v/>
          </cell>
          <cell r="F312">
            <v>0</v>
          </cell>
          <cell r="G312" t="str">
            <v/>
          </cell>
          <cell r="H312" t="str">
            <v/>
          </cell>
          <cell r="I312">
            <v>0</v>
          </cell>
          <cell r="J312">
            <v>0</v>
          </cell>
        </row>
        <row r="313">
          <cell r="A313">
            <v>0</v>
          </cell>
          <cell r="B313">
            <v>0</v>
          </cell>
          <cell r="C313">
            <v>0</v>
          </cell>
          <cell r="D313" t="str">
            <v/>
          </cell>
          <cell r="E313" t="str">
            <v/>
          </cell>
          <cell r="F313">
            <v>0</v>
          </cell>
          <cell r="G313" t="str">
            <v/>
          </cell>
          <cell r="H313" t="str">
            <v/>
          </cell>
          <cell r="I313">
            <v>0</v>
          </cell>
          <cell r="J313">
            <v>0</v>
          </cell>
        </row>
        <row r="314">
          <cell r="A314">
            <v>0</v>
          </cell>
          <cell r="B314">
            <v>0</v>
          </cell>
          <cell r="C314">
            <v>0</v>
          </cell>
          <cell r="D314" t="str">
            <v/>
          </cell>
          <cell r="E314" t="str">
            <v/>
          </cell>
          <cell r="F314">
            <v>0</v>
          </cell>
          <cell r="G314" t="str">
            <v/>
          </cell>
          <cell r="H314" t="str">
            <v/>
          </cell>
          <cell r="I314">
            <v>0</v>
          </cell>
          <cell r="J314">
            <v>0</v>
          </cell>
        </row>
        <row r="315">
          <cell r="A315" t="str">
            <v>2.2</v>
          </cell>
          <cell r="B315">
            <v>0</v>
          </cell>
          <cell r="C315">
            <v>0</v>
          </cell>
          <cell r="D315" t="str">
            <v>PAISAGISMO / URBANISMO</v>
          </cell>
          <cell r="E315" t="str">
            <v/>
          </cell>
          <cell r="F315">
            <v>0</v>
          </cell>
          <cell r="G315" t="str">
            <v/>
          </cell>
          <cell r="H315" t="str">
            <v/>
          </cell>
          <cell r="I315">
            <v>0</v>
          </cell>
          <cell r="J315">
            <v>0</v>
          </cell>
        </row>
        <row r="316">
          <cell r="A316">
            <v>0</v>
          </cell>
          <cell r="B316">
            <v>0</v>
          </cell>
          <cell r="C316">
            <v>0</v>
          </cell>
          <cell r="D316" t="str">
            <v/>
          </cell>
          <cell r="E316" t="str">
            <v/>
          </cell>
          <cell r="F316">
            <v>0</v>
          </cell>
          <cell r="G316" t="str">
            <v/>
          </cell>
          <cell r="H316" t="str">
            <v/>
          </cell>
          <cell r="I316">
            <v>0</v>
          </cell>
          <cell r="J316">
            <v>0</v>
          </cell>
        </row>
        <row r="317">
          <cell r="A317" t="str">
            <v>2.2.1</v>
          </cell>
          <cell r="B317">
            <v>0</v>
          </cell>
          <cell r="C317">
            <v>0</v>
          </cell>
          <cell r="D317" t="str">
            <v>SERVIÇOS PRELIMINARES</v>
          </cell>
          <cell r="E317" t="str">
            <v/>
          </cell>
          <cell r="F317">
            <v>0</v>
          </cell>
          <cell r="G317" t="str">
            <v/>
          </cell>
          <cell r="H317" t="str">
            <v/>
          </cell>
          <cell r="I317">
            <v>0</v>
          </cell>
          <cell r="J317">
            <v>0</v>
          </cell>
        </row>
        <row r="318">
          <cell r="A318">
            <v>0</v>
          </cell>
          <cell r="B318">
            <v>0</v>
          </cell>
          <cell r="C318">
            <v>0</v>
          </cell>
          <cell r="D318" t="str">
            <v/>
          </cell>
          <cell r="E318" t="str">
            <v/>
          </cell>
          <cell r="F318">
            <v>0</v>
          </cell>
          <cell r="G318" t="str">
            <v/>
          </cell>
          <cell r="H318" t="str">
            <v/>
          </cell>
          <cell r="I318">
            <v>0</v>
          </cell>
          <cell r="J318">
            <v>0</v>
          </cell>
        </row>
        <row r="319">
          <cell r="A319" t="str">
            <v>2.2.2</v>
          </cell>
          <cell r="B319">
            <v>0</v>
          </cell>
          <cell r="C319">
            <v>0</v>
          </cell>
          <cell r="D319" t="str">
            <v>VEGETAÇÃO</v>
          </cell>
          <cell r="E319" t="str">
            <v/>
          </cell>
          <cell r="F319">
            <v>0</v>
          </cell>
          <cell r="G319" t="str">
            <v/>
          </cell>
          <cell r="H319">
            <v>0</v>
          </cell>
          <cell r="I319">
            <v>0</v>
          </cell>
          <cell r="J319">
            <v>0</v>
          </cell>
        </row>
        <row r="320">
          <cell r="A320">
            <v>0</v>
          </cell>
          <cell r="B320">
            <v>0</v>
          </cell>
          <cell r="C320">
            <v>0</v>
          </cell>
          <cell r="D320" t="str">
            <v/>
          </cell>
          <cell r="E320" t="str">
            <v/>
          </cell>
          <cell r="F320">
            <v>0</v>
          </cell>
          <cell r="G320" t="str">
            <v/>
          </cell>
          <cell r="H320" t="str">
            <v/>
          </cell>
          <cell r="I320">
            <v>0</v>
          </cell>
          <cell r="J320">
            <v>0</v>
          </cell>
        </row>
        <row r="321">
          <cell r="A321" t="str">
            <v>2.2.3</v>
          </cell>
          <cell r="B321">
            <v>0</v>
          </cell>
          <cell r="C321">
            <v>0</v>
          </cell>
          <cell r="D321" t="str">
            <v>PISO</v>
          </cell>
          <cell r="E321" t="str">
            <v/>
          </cell>
          <cell r="F321">
            <v>0</v>
          </cell>
          <cell r="G321" t="str">
            <v/>
          </cell>
          <cell r="H321" t="str">
            <v/>
          </cell>
          <cell r="I321">
            <v>0</v>
          </cell>
          <cell r="J321">
            <v>0</v>
          </cell>
        </row>
        <row r="322">
          <cell r="A322">
            <v>0</v>
          </cell>
          <cell r="B322">
            <v>0</v>
          </cell>
          <cell r="C322">
            <v>0</v>
          </cell>
          <cell r="D322" t="str">
            <v/>
          </cell>
          <cell r="E322" t="str">
            <v/>
          </cell>
          <cell r="F322">
            <v>0</v>
          </cell>
          <cell r="G322" t="str">
            <v/>
          </cell>
          <cell r="H322" t="str">
            <v/>
          </cell>
          <cell r="I322">
            <v>0</v>
          </cell>
          <cell r="J322">
            <v>0</v>
          </cell>
        </row>
        <row r="323">
          <cell r="A323" t="str">
            <v>2.2.4</v>
          </cell>
          <cell r="B323">
            <v>0</v>
          </cell>
          <cell r="C323">
            <v>0</v>
          </cell>
          <cell r="D323" t="str">
            <v>MOBILIÁRIO</v>
          </cell>
          <cell r="E323" t="str">
            <v/>
          </cell>
          <cell r="F323">
            <v>0</v>
          </cell>
          <cell r="G323" t="str">
            <v/>
          </cell>
          <cell r="H323" t="str">
            <v/>
          </cell>
          <cell r="I323">
            <v>0</v>
          </cell>
          <cell r="J323">
            <v>0</v>
          </cell>
        </row>
        <row r="324">
          <cell r="A324">
            <v>0</v>
          </cell>
          <cell r="B324">
            <v>0</v>
          </cell>
          <cell r="C324">
            <v>0</v>
          </cell>
          <cell r="D324" t="str">
            <v/>
          </cell>
          <cell r="E324" t="str">
            <v/>
          </cell>
          <cell r="F324">
            <v>0</v>
          </cell>
          <cell r="G324" t="str">
            <v/>
          </cell>
          <cell r="H324" t="str">
            <v/>
          </cell>
          <cell r="I324">
            <v>0</v>
          </cell>
          <cell r="J324">
            <v>0</v>
          </cell>
        </row>
        <row r="325">
          <cell r="A325" t="str">
            <v>2.2.5</v>
          </cell>
          <cell r="B325">
            <v>0</v>
          </cell>
          <cell r="C325">
            <v>0</v>
          </cell>
          <cell r="D325" t="str">
            <v>OUTROS ITENS</v>
          </cell>
          <cell r="E325" t="str">
            <v/>
          </cell>
          <cell r="F325">
            <v>0</v>
          </cell>
          <cell r="G325" t="str">
            <v/>
          </cell>
          <cell r="H325" t="str">
            <v/>
          </cell>
          <cell r="I325">
            <v>0</v>
          </cell>
          <cell r="J325">
            <v>0</v>
          </cell>
        </row>
        <row r="326">
          <cell r="A326">
            <v>0</v>
          </cell>
          <cell r="B326">
            <v>0</v>
          </cell>
          <cell r="C326">
            <v>0</v>
          </cell>
          <cell r="D326" t="str">
            <v/>
          </cell>
          <cell r="E326" t="str">
            <v/>
          </cell>
          <cell r="F326">
            <v>0</v>
          </cell>
          <cell r="G326" t="str">
            <v/>
          </cell>
          <cell r="H326" t="str">
            <v/>
          </cell>
          <cell r="I326">
            <v>0</v>
          </cell>
          <cell r="J326">
            <v>0</v>
          </cell>
        </row>
        <row r="327">
          <cell r="A327">
            <v>0</v>
          </cell>
          <cell r="B327">
            <v>0</v>
          </cell>
          <cell r="C327">
            <v>0</v>
          </cell>
          <cell r="D327" t="str">
            <v/>
          </cell>
          <cell r="E327" t="str">
            <v/>
          </cell>
          <cell r="F327">
            <v>0</v>
          </cell>
          <cell r="G327" t="str">
            <v/>
          </cell>
          <cell r="H327" t="str">
            <v/>
          </cell>
          <cell r="I327">
            <v>0</v>
          </cell>
          <cell r="J327">
            <v>0</v>
          </cell>
        </row>
        <row r="328">
          <cell r="A328">
            <v>0</v>
          </cell>
          <cell r="B328">
            <v>0</v>
          </cell>
          <cell r="C328">
            <v>0</v>
          </cell>
          <cell r="D328" t="str">
            <v/>
          </cell>
          <cell r="E328" t="str">
            <v/>
          </cell>
          <cell r="F328">
            <v>0</v>
          </cell>
          <cell r="G328" t="str">
            <v/>
          </cell>
          <cell r="H328" t="str">
            <v/>
          </cell>
          <cell r="I328">
            <v>0</v>
          </cell>
          <cell r="J328">
            <v>0</v>
          </cell>
        </row>
        <row r="329">
          <cell r="A329">
            <v>0</v>
          </cell>
          <cell r="B329">
            <v>0</v>
          </cell>
          <cell r="C329">
            <v>0</v>
          </cell>
          <cell r="D329" t="str">
            <v/>
          </cell>
          <cell r="E329" t="str">
            <v/>
          </cell>
          <cell r="F329">
            <v>0</v>
          </cell>
          <cell r="G329" t="str">
            <v/>
          </cell>
          <cell r="H329" t="str">
            <v/>
          </cell>
          <cell r="I329">
            <v>0</v>
          </cell>
          <cell r="J329">
            <v>0</v>
          </cell>
        </row>
        <row r="330">
          <cell r="A330">
            <v>0</v>
          </cell>
          <cell r="B330">
            <v>0</v>
          </cell>
          <cell r="C330">
            <v>0</v>
          </cell>
          <cell r="D330" t="str">
            <v/>
          </cell>
          <cell r="E330" t="str">
            <v/>
          </cell>
          <cell r="F330">
            <v>0</v>
          </cell>
          <cell r="G330" t="str">
            <v/>
          </cell>
          <cell r="H330" t="str">
            <v/>
          </cell>
          <cell r="I330">
            <v>0</v>
          </cell>
          <cell r="J330">
            <v>0</v>
          </cell>
        </row>
        <row r="331">
          <cell r="A331">
            <v>0</v>
          </cell>
          <cell r="B331">
            <v>0</v>
          </cell>
          <cell r="C331">
            <v>0</v>
          </cell>
          <cell r="D331" t="str">
            <v/>
          </cell>
          <cell r="E331" t="str">
            <v/>
          </cell>
          <cell r="F331">
            <v>0</v>
          </cell>
          <cell r="G331" t="str">
            <v/>
          </cell>
          <cell r="H331" t="str">
            <v/>
          </cell>
          <cell r="I331">
            <v>0</v>
          </cell>
          <cell r="J331">
            <v>0</v>
          </cell>
        </row>
        <row r="332">
          <cell r="A332">
            <v>0</v>
          </cell>
          <cell r="B332">
            <v>0</v>
          </cell>
          <cell r="C332">
            <v>0</v>
          </cell>
          <cell r="D332" t="str">
            <v/>
          </cell>
          <cell r="E332" t="str">
            <v/>
          </cell>
          <cell r="F332">
            <v>0</v>
          </cell>
          <cell r="G332" t="str">
            <v/>
          </cell>
          <cell r="H332" t="str">
            <v/>
          </cell>
          <cell r="I332">
            <v>0</v>
          </cell>
          <cell r="J332">
            <v>0</v>
          </cell>
        </row>
        <row r="333">
          <cell r="A333">
            <v>0</v>
          </cell>
          <cell r="B333">
            <v>0</v>
          </cell>
          <cell r="C333">
            <v>0</v>
          </cell>
          <cell r="D333" t="str">
            <v/>
          </cell>
          <cell r="E333" t="str">
            <v/>
          </cell>
          <cell r="F333">
            <v>0</v>
          </cell>
          <cell r="G333" t="str">
            <v/>
          </cell>
          <cell r="H333" t="str">
            <v/>
          </cell>
          <cell r="I333">
            <v>0</v>
          </cell>
          <cell r="J333">
            <v>0</v>
          </cell>
        </row>
        <row r="334">
          <cell r="A334">
            <v>0</v>
          </cell>
          <cell r="B334">
            <v>0</v>
          </cell>
          <cell r="C334">
            <v>0</v>
          </cell>
          <cell r="D334" t="str">
            <v/>
          </cell>
          <cell r="E334" t="str">
            <v/>
          </cell>
          <cell r="F334">
            <v>0</v>
          </cell>
          <cell r="G334" t="str">
            <v/>
          </cell>
          <cell r="H334" t="str">
            <v/>
          </cell>
          <cell r="I334">
            <v>0</v>
          </cell>
          <cell r="J334">
            <v>0</v>
          </cell>
        </row>
        <row r="335">
          <cell r="A335">
            <v>0</v>
          </cell>
          <cell r="B335">
            <v>0</v>
          </cell>
          <cell r="C335">
            <v>0</v>
          </cell>
          <cell r="D335" t="str">
            <v/>
          </cell>
          <cell r="E335" t="str">
            <v/>
          </cell>
          <cell r="F335">
            <v>0</v>
          </cell>
          <cell r="G335" t="str">
            <v/>
          </cell>
          <cell r="H335" t="str">
            <v/>
          </cell>
          <cell r="I335">
            <v>0</v>
          </cell>
          <cell r="J335">
            <v>0</v>
          </cell>
        </row>
        <row r="336">
          <cell r="A336">
            <v>0</v>
          </cell>
          <cell r="B336">
            <v>0</v>
          </cell>
          <cell r="C336">
            <v>0</v>
          </cell>
          <cell r="D336" t="str">
            <v/>
          </cell>
          <cell r="E336" t="str">
            <v/>
          </cell>
          <cell r="F336">
            <v>0</v>
          </cell>
          <cell r="G336" t="str">
            <v/>
          </cell>
          <cell r="H336" t="str">
            <v/>
          </cell>
          <cell r="I336">
            <v>0</v>
          </cell>
          <cell r="J336">
            <v>0</v>
          </cell>
        </row>
        <row r="337">
          <cell r="A337">
            <v>0</v>
          </cell>
          <cell r="B337">
            <v>0</v>
          </cell>
          <cell r="C337">
            <v>0</v>
          </cell>
          <cell r="D337" t="str">
            <v/>
          </cell>
          <cell r="E337" t="str">
            <v/>
          </cell>
          <cell r="F337">
            <v>0</v>
          </cell>
          <cell r="G337" t="str">
            <v/>
          </cell>
          <cell r="H337" t="str">
            <v/>
          </cell>
          <cell r="I337">
            <v>0</v>
          </cell>
          <cell r="J337">
            <v>0</v>
          </cell>
        </row>
        <row r="338">
          <cell r="A338">
            <v>0</v>
          </cell>
          <cell r="B338">
            <v>0</v>
          </cell>
          <cell r="C338">
            <v>0</v>
          </cell>
          <cell r="D338" t="str">
            <v/>
          </cell>
          <cell r="E338" t="str">
            <v/>
          </cell>
          <cell r="F338">
            <v>0</v>
          </cell>
          <cell r="G338" t="str">
            <v/>
          </cell>
          <cell r="H338" t="str">
            <v/>
          </cell>
          <cell r="I338">
            <v>0</v>
          </cell>
          <cell r="J338">
            <v>0</v>
          </cell>
        </row>
        <row r="339">
          <cell r="A339">
            <v>0</v>
          </cell>
          <cell r="B339">
            <v>0</v>
          </cell>
          <cell r="C339">
            <v>0</v>
          </cell>
          <cell r="D339" t="str">
            <v/>
          </cell>
          <cell r="E339" t="str">
            <v/>
          </cell>
          <cell r="F339">
            <v>0</v>
          </cell>
          <cell r="G339" t="str">
            <v/>
          </cell>
          <cell r="H339" t="str">
            <v/>
          </cell>
          <cell r="I339">
            <v>0</v>
          </cell>
          <cell r="J339">
            <v>0</v>
          </cell>
        </row>
        <row r="340">
          <cell r="A340">
            <v>0</v>
          </cell>
          <cell r="B340">
            <v>0</v>
          </cell>
          <cell r="C340">
            <v>0</v>
          </cell>
          <cell r="D340" t="str">
            <v/>
          </cell>
          <cell r="E340" t="str">
            <v/>
          </cell>
          <cell r="F340">
            <v>0</v>
          </cell>
          <cell r="G340" t="str">
            <v/>
          </cell>
          <cell r="H340" t="str">
            <v/>
          </cell>
          <cell r="I340">
            <v>0</v>
          </cell>
          <cell r="J340">
            <v>0</v>
          </cell>
        </row>
        <row r="341">
          <cell r="A341">
            <v>0</v>
          </cell>
          <cell r="B341">
            <v>0</v>
          </cell>
          <cell r="C341">
            <v>0</v>
          </cell>
          <cell r="D341">
            <v>0</v>
          </cell>
          <cell r="E341">
            <v>0</v>
          </cell>
          <cell r="F341">
            <v>0</v>
          </cell>
          <cell r="G341">
            <v>0</v>
          </cell>
          <cell r="H341">
            <v>0</v>
          </cell>
          <cell r="I341">
            <v>0</v>
          </cell>
          <cell r="J34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
      <sheetName val="MODELO"/>
      <sheetName val="R.C."/>
      <sheetName val="MOBILIZAÇÃO "/>
      <sheetName val="L.I.COT."/>
      <sheetName val="L.I.SINAPI"/>
      <sheetName val="L.S.SINAPI"/>
      <sheetName val="L.S.SICRO 2"/>
      <sheetName val="L.I.SICRO EQ"/>
      <sheetName val="L.I.SICRO MAT"/>
      <sheetName val="L.I.SICRO MO"/>
      <sheetName val="L.S.EMLURB"/>
      <sheetName val="L.S.COHAB"/>
      <sheetName val="L.S.COMPESA"/>
      <sheetName val="CCOMPS21001"/>
      <sheetName val="CCOMPS21002"/>
      <sheetName val="CCOMPS21003"/>
      <sheetName val="CCOMPS21004"/>
      <sheetName val="CCOMPS21005"/>
      <sheetName val="CCOMPS21006"/>
      <sheetName val="CC5953-A"/>
      <sheetName val="CC5797-A"/>
      <sheetName val="CC5798-A"/>
      <sheetName val="CC53864-A"/>
      <sheetName val="CC53865-A"/>
      <sheetName val="L.S.EML..."/>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EQUIPAMENTO/COTAÇÕES</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v>0</v>
          </cell>
          <cell r="B11">
            <v>0</v>
          </cell>
          <cell r="C11">
            <v>0</v>
          </cell>
          <cell r="D11">
            <v>0</v>
          </cell>
          <cell r="E11">
            <v>0</v>
          </cell>
          <cell r="F11">
            <v>0</v>
          </cell>
          <cell r="G11">
            <v>0</v>
          </cell>
          <cell r="H11">
            <v>0</v>
          </cell>
          <cell r="I11">
            <v>0</v>
          </cell>
          <cell r="J11">
            <v>0</v>
          </cell>
        </row>
        <row r="12">
          <cell r="A12" t="str">
            <v>3.0</v>
          </cell>
          <cell r="B12">
            <v>0</v>
          </cell>
          <cell r="C12">
            <v>0</v>
          </cell>
          <cell r="D12" t="str">
            <v>FUNDAÇÕES E ESTRUTURAS</v>
          </cell>
          <cell r="E12" t="str">
            <v/>
          </cell>
          <cell r="F12">
            <v>0</v>
          </cell>
          <cell r="G12" t="str">
            <v/>
          </cell>
          <cell r="H12">
            <v>0</v>
          </cell>
          <cell r="I12">
            <v>251338.00000000003</v>
          </cell>
          <cell r="J12">
            <v>0</v>
          </cell>
        </row>
        <row r="13">
          <cell r="A13">
            <v>0</v>
          </cell>
          <cell r="B13">
            <v>0</v>
          </cell>
          <cell r="C13">
            <v>0</v>
          </cell>
          <cell r="D13" t="str">
            <v/>
          </cell>
          <cell r="E13" t="str">
            <v/>
          </cell>
          <cell r="F13">
            <v>0</v>
          </cell>
          <cell r="G13" t="str">
            <v/>
          </cell>
          <cell r="H13" t="str">
            <v/>
          </cell>
          <cell r="I13">
            <v>0</v>
          </cell>
          <cell r="J13">
            <v>0</v>
          </cell>
        </row>
        <row r="14">
          <cell r="A14" t="str">
            <v>3.1</v>
          </cell>
          <cell r="B14">
            <v>0</v>
          </cell>
          <cell r="C14">
            <v>0</v>
          </cell>
          <cell r="D14" t="str">
            <v>SERVIÇOS DIVERSOS</v>
          </cell>
          <cell r="E14" t="str">
            <v/>
          </cell>
          <cell r="F14">
            <v>0</v>
          </cell>
          <cell r="G14" t="str">
            <v/>
          </cell>
          <cell r="H14" t="str">
            <v/>
          </cell>
          <cell r="I14">
            <v>0</v>
          </cell>
          <cell r="J14">
            <v>0</v>
          </cell>
        </row>
        <row r="15">
          <cell r="A15">
            <v>0</v>
          </cell>
          <cell r="B15">
            <v>0</v>
          </cell>
          <cell r="C15">
            <v>0</v>
          </cell>
          <cell r="D15" t="str">
            <v/>
          </cell>
          <cell r="E15" t="str">
            <v/>
          </cell>
          <cell r="F15">
            <v>0</v>
          </cell>
          <cell r="G15" t="str">
            <v/>
          </cell>
          <cell r="H15" t="str">
            <v/>
          </cell>
          <cell r="I15">
            <v>0</v>
          </cell>
          <cell r="J15">
            <v>0</v>
          </cell>
        </row>
        <row r="16">
          <cell r="A16" t="str">
            <v>3.1.1</v>
          </cell>
          <cell r="B16">
            <v>89263</v>
          </cell>
          <cell r="C16" t="str">
            <v>SINAPI SERVIÇO</v>
          </cell>
          <cell r="D16" t="str">
            <v>DEMOLICAO DE ESTRUTURA METALICA SEM REMOCAO</v>
          </cell>
          <cell r="E16" t="str">
            <v>M2</v>
          </cell>
          <cell r="F16">
            <v>360.96</v>
          </cell>
          <cell r="G16">
            <v>22.84</v>
          </cell>
          <cell r="H16">
            <v>28.55</v>
          </cell>
          <cell r="I16">
            <v>10305.41</v>
          </cell>
          <cell r="J16">
            <v>0.25</v>
          </cell>
        </row>
        <row r="17">
          <cell r="A17" t="str">
            <v>3.1.2</v>
          </cell>
          <cell r="B17" t="str">
            <v>COMPS21006</v>
          </cell>
          <cell r="C17" t="str">
            <v>COMPOSIÇÃO</v>
          </cell>
          <cell r="D17" t="str">
            <v>CORREÇÃO COM REFORÇO DE FISSURA CONFORME PROJETO INCLUINDO DEMOLIÇÃO DE CAPEAMENTO DE PISO, APLICAÇÃO DE ADESIVO SIKADUR 32 OU EQUIVALENTE TECNICO, TELA DE ESTUQUE, GROUT E ARMADURA DE REFORÇO</v>
          </cell>
          <cell r="E17" t="str">
            <v>M2</v>
          </cell>
          <cell r="F17">
            <v>6</v>
          </cell>
          <cell r="G17">
            <v>143.01</v>
          </cell>
          <cell r="H17">
            <v>178.76</v>
          </cell>
          <cell r="I17">
            <v>1072.56</v>
          </cell>
          <cell r="J17">
            <v>0.25</v>
          </cell>
        </row>
        <row r="18">
          <cell r="A18">
            <v>0</v>
          </cell>
          <cell r="B18">
            <v>0</v>
          </cell>
          <cell r="C18">
            <v>0</v>
          </cell>
          <cell r="D18" t="str">
            <v/>
          </cell>
          <cell r="E18" t="str">
            <v/>
          </cell>
          <cell r="F18">
            <v>0</v>
          </cell>
          <cell r="G18" t="str">
            <v/>
          </cell>
          <cell r="H18" t="str">
            <v/>
          </cell>
          <cell r="I18">
            <v>0</v>
          </cell>
          <cell r="J18">
            <v>0</v>
          </cell>
        </row>
        <row r="19">
          <cell r="A19" t="str">
            <v>3.2</v>
          </cell>
          <cell r="B19">
            <v>0</v>
          </cell>
          <cell r="C19">
            <v>0</v>
          </cell>
          <cell r="D19" t="str">
            <v>INFRA ESTRUTURA</v>
          </cell>
          <cell r="E19" t="str">
            <v/>
          </cell>
          <cell r="F19">
            <v>0</v>
          </cell>
          <cell r="G19" t="str">
            <v/>
          </cell>
          <cell r="H19" t="str">
            <v/>
          </cell>
          <cell r="I19">
            <v>0</v>
          </cell>
          <cell r="J19">
            <v>0</v>
          </cell>
        </row>
        <row r="20">
          <cell r="A20">
            <v>0</v>
          </cell>
          <cell r="B20">
            <v>0</v>
          </cell>
          <cell r="C20">
            <v>0</v>
          </cell>
          <cell r="D20" t="str">
            <v/>
          </cell>
          <cell r="E20" t="str">
            <v/>
          </cell>
          <cell r="F20">
            <v>0</v>
          </cell>
          <cell r="G20" t="str">
            <v/>
          </cell>
          <cell r="H20" t="str">
            <v/>
          </cell>
          <cell r="I20">
            <v>0</v>
          </cell>
          <cell r="J20">
            <v>0</v>
          </cell>
        </row>
        <row r="21">
          <cell r="A21" t="str">
            <v>3.2.1</v>
          </cell>
          <cell r="B21" t="str">
            <v>73965/010</v>
          </cell>
          <cell r="C21" t="str">
            <v>SINAPI SERVIÇO</v>
          </cell>
          <cell r="D21" t="str">
            <v>ESCAVACAO MANUAL DE VALA EM   MATERIAL DE 1A CATEGORIA ATE 1,5M EXCLUIN   DO ESGOTAMENTO / ESCORAMENTO</v>
          </cell>
          <cell r="E21" t="str">
            <v>M3</v>
          </cell>
          <cell r="F21">
            <v>78.705799999999982</v>
          </cell>
          <cell r="G21">
            <v>42.92</v>
          </cell>
          <cell r="H21">
            <v>53.65</v>
          </cell>
          <cell r="I21">
            <v>4222.57</v>
          </cell>
          <cell r="J21">
            <v>0.25</v>
          </cell>
        </row>
        <row r="22">
          <cell r="A22" t="str">
            <v>3.2.2</v>
          </cell>
          <cell r="B22" t="str">
            <v>73964/006</v>
          </cell>
          <cell r="C22" t="str">
            <v>SINAPI SERVIÇO</v>
          </cell>
          <cell r="D22" t="str">
            <v>REATERRO DE VALA COM COMPACTAÇÃO MANUAL</v>
          </cell>
          <cell r="E22" t="str">
            <v>M3</v>
          </cell>
          <cell r="F22">
            <v>50.591224999999987</v>
          </cell>
          <cell r="G22">
            <v>36.79</v>
          </cell>
          <cell r="H22">
            <v>45.99</v>
          </cell>
          <cell r="I22">
            <v>2326.69</v>
          </cell>
          <cell r="J22">
            <v>0.25</v>
          </cell>
        </row>
        <row r="23">
          <cell r="A23" t="str">
            <v>3.2.3</v>
          </cell>
          <cell r="B23">
            <v>84214</v>
          </cell>
          <cell r="C23" t="str">
            <v>SINAPI SERVIÇO</v>
          </cell>
          <cell r="D23" t="str">
            <v>FORMA PARA ESTRUTURAS DE CONCRETO (PILAR, VIGA E LAJE) EM CHAPA DE MAD   EIRA COMPENSADA RESINADA, DE 1,10 X 2,20, ESPESSURA = 12 MM, 02 UTILIZACOES. (FABRICACAO, MONTAGEM E DESMONTAGEM)</v>
          </cell>
          <cell r="E23" t="str">
            <v>M2</v>
          </cell>
          <cell r="F23">
            <v>109.52099999999999</v>
          </cell>
          <cell r="G23">
            <v>45.98</v>
          </cell>
          <cell r="H23">
            <v>57.48</v>
          </cell>
          <cell r="I23">
            <v>6295.27</v>
          </cell>
          <cell r="J23">
            <v>0.25</v>
          </cell>
        </row>
        <row r="24">
          <cell r="A24" t="str">
            <v>3.2.4</v>
          </cell>
          <cell r="B24" t="str">
            <v>18430/002</v>
          </cell>
          <cell r="C24" t="str">
            <v>SINAPI COMPESA</v>
          </cell>
          <cell r="D24" t="str">
            <v>FORMAS DE COMPENSADO RESINADO INCLUSIVE ESCORAMENTO LATERAL</v>
          </cell>
          <cell r="E24" t="str">
            <v>M2</v>
          </cell>
          <cell r="F24">
            <v>36.709999999999994</v>
          </cell>
          <cell r="G24">
            <v>63.53</v>
          </cell>
          <cell r="H24">
            <v>79.41</v>
          </cell>
          <cell r="I24">
            <v>2915.14</v>
          </cell>
          <cell r="J24">
            <v>0.25</v>
          </cell>
        </row>
        <row r="25">
          <cell r="A25" t="str">
            <v>3.2.5</v>
          </cell>
          <cell r="B25" t="str">
            <v>74138/004</v>
          </cell>
          <cell r="C25" t="str">
            <v>SINAPI SERVIÇO</v>
          </cell>
          <cell r="D25" t="str">
            <v>CONCRETO USINADO BOMBEADO FCK=30MPA, INCLUSIVE LANCAMENTO E ADENSAMENT   O</v>
          </cell>
          <cell r="E25" t="str">
            <v>M3</v>
          </cell>
          <cell r="F25">
            <v>21.234075000000001</v>
          </cell>
          <cell r="G25">
            <v>391.58</v>
          </cell>
          <cell r="H25">
            <v>489.48</v>
          </cell>
          <cell r="I25">
            <v>10393.66</v>
          </cell>
          <cell r="J25">
            <v>0.25</v>
          </cell>
        </row>
        <row r="26">
          <cell r="A26" t="str">
            <v>3.2.6</v>
          </cell>
          <cell r="B26" t="str">
            <v>9958/001</v>
          </cell>
          <cell r="C26" t="str">
            <v>SINAPI EMLURB</v>
          </cell>
          <cell r="D26" t="str">
            <v>FERRO CA-50</v>
          </cell>
          <cell r="E26" t="str">
            <v>KG</v>
          </cell>
          <cell r="F26">
            <v>811.51855599999999</v>
          </cell>
          <cell r="G26">
            <v>6.03</v>
          </cell>
          <cell r="H26">
            <v>7.54</v>
          </cell>
          <cell r="I26">
            <v>6118.85</v>
          </cell>
          <cell r="J26">
            <v>0.25</v>
          </cell>
        </row>
        <row r="27">
          <cell r="A27" t="str">
            <v>3.2.7</v>
          </cell>
          <cell r="B27" t="str">
            <v>9958/002</v>
          </cell>
          <cell r="C27" t="str">
            <v>SINAPI EMLURB</v>
          </cell>
          <cell r="D27" t="str">
            <v>FERRO CA-60</v>
          </cell>
          <cell r="E27" t="str">
            <v>KG</v>
          </cell>
          <cell r="F27">
            <v>209.26189702499997</v>
          </cell>
          <cell r="G27">
            <v>6.07</v>
          </cell>
          <cell r="H27">
            <v>7.59</v>
          </cell>
          <cell r="I27">
            <v>1588.3</v>
          </cell>
          <cell r="J27">
            <v>0.25</v>
          </cell>
        </row>
        <row r="28">
          <cell r="A28">
            <v>0</v>
          </cell>
          <cell r="B28">
            <v>0</v>
          </cell>
          <cell r="C28">
            <v>0</v>
          </cell>
          <cell r="D28" t="str">
            <v/>
          </cell>
          <cell r="E28" t="str">
            <v/>
          </cell>
          <cell r="F28">
            <v>0</v>
          </cell>
          <cell r="G28" t="str">
            <v/>
          </cell>
          <cell r="H28" t="str">
            <v/>
          </cell>
          <cell r="I28">
            <v>0</v>
          </cell>
          <cell r="J28">
            <v>0</v>
          </cell>
        </row>
        <row r="29">
          <cell r="A29" t="str">
            <v>3.3</v>
          </cell>
          <cell r="B29">
            <v>0</v>
          </cell>
          <cell r="C29">
            <v>0</v>
          </cell>
          <cell r="D29" t="str">
            <v>SUPER ESTRUTURA</v>
          </cell>
          <cell r="E29" t="str">
            <v/>
          </cell>
          <cell r="F29">
            <v>0</v>
          </cell>
          <cell r="G29" t="str">
            <v/>
          </cell>
          <cell r="H29" t="str">
            <v/>
          </cell>
          <cell r="I29">
            <v>0</v>
          </cell>
          <cell r="J29">
            <v>0</v>
          </cell>
        </row>
        <row r="30">
          <cell r="A30">
            <v>0</v>
          </cell>
          <cell r="B30">
            <v>0</v>
          </cell>
          <cell r="C30">
            <v>0</v>
          </cell>
          <cell r="D30" t="str">
            <v/>
          </cell>
          <cell r="E30" t="str">
            <v/>
          </cell>
          <cell r="F30">
            <v>0</v>
          </cell>
          <cell r="G30" t="str">
            <v/>
          </cell>
          <cell r="H30" t="str">
            <v/>
          </cell>
          <cell r="I30">
            <v>0</v>
          </cell>
          <cell r="J30">
            <v>0</v>
          </cell>
        </row>
        <row r="31">
          <cell r="A31" t="str">
            <v>3.3.1</v>
          </cell>
          <cell r="B31" t="str">
            <v>15561/003</v>
          </cell>
          <cell r="C31" t="str">
            <v>SINAPI EMLURB</v>
          </cell>
          <cell r="D31" t="str">
            <v>FORMAS PARA PILARES</v>
          </cell>
          <cell r="E31" t="str">
            <v>M2</v>
          </cell>
          <cell r="F31">
            <v>53.940000000000005</v>
          </cell>
          <cell r="G31">
            <v>68.62</v>
          </cell>
          <cell r="H31">
            <v>85.78</v>
          </cell>
          <cell r="I31">
            <v>4626.97</v>
          </cell>
          <cell r="J31">
            <v>0.25</v>
          </cell>
        </row>
        <row r="32">
          <cell r="A32" t="str">
            <v>3.3.2</v>
          </cell>
          <cell r="B32" t="str">
            <v>15561/001</v>
          </cell>
          <cell r="C32" t="str">
            <v>SINAPI EMLURB</v>
          </cell>
          <cell r="D32" t="str">
            <v>FORMAS PARA LAJES</v>
          </cell>
          <cell r="E32" t="str">
            <v>M2</v>
          </cell>
          <cell r="F32">
            <v>85.827000000000012</v>
          </cell>
          <cell r="G32">
            <v>56.48</v>
          </cell>
          <cell r="H32">
            <v>70.599999999999994</v>
          </cell>
          <cell r="I32">
            <v>6059.39</v>
          </cell>
          <cell r="J32">
            <v>0.25</v>
          </cell>
        </row>
        <row r="33">
          <cell r="A33" t="str">
            <v>3.3.3</v>
          </cell>
          <cell r="B33" t="str">
            <v>15561/002</v>
          </cell>
          <cell r="C33" t="str">
            <v>SINAPI EMLURB</v>
          </cell>
          <cell r="D33" t="str">
            <v>FORMAS PARA VIGAS</v>
          </cell>
          <cell r="E33" t="str">
            <v>M2</v>
          </cell>
          <cell r="F33">
            <v>61.522999999999996</v>
          </cell>
          <cell r="G33">
            <v>70.53</v>
          </cell>
          <cell r="H33">
            <v>88.16</v>
          </cell>
          <cell r="I33">
            <v>5423.87</v>
          </cell>
          <cell r="J33">
            <v>0.25</v>
          </cell>
        </row>
        <row r="34">
          <cell r="A34" t="str">
            <v>3.3.4</v>
          </cell>
          <cell r="B34" t="str">
            <v>74138/004</v>
          </cell>
          <cell r="C34" t="str">
            <v>SINAPI SERVIÇO</v>
          </cell>
          <cell r="D34" t="str">
            <v>CONCRETO USINADO BOMBEADO FCK=30MPA, INCLUSIVE LANCAMENTO E ADENSAMENT   O</v>
          </cell>
          <cell r="E34" t="str">
            <v>M3</v>
          </cell>
          <cell r="F34">
            <v>2.3947500000000002</v>
          </cell>
          <cell r="G34">
            <v>391.58</v>
          </cell>
          <cell r="H34">
            <v>489.48</v>
          </cell>
          <cell r="I34">
            <v>1172.18</v>
          </cell>
          <cell r="J34">
            <v>0.25</v>
          </cell>
        </row>
        <row r="35">
          <cell r="A35" t="str">
            <v>3.3.5</v>
          </cell>
          <cell r="B35" t="str">
            <v>74138/004</v>
          </cell>
          <cell r="C35" t="str">
            <v>SINAPI SERVIÇO</v>
          </cell>
          <cell r="D35" t="str">
            <v>CONCRETO USINADO BOMBEADO FCK=30MPA, INCLUSIVE LANCAMENTO E ADENSAMENT   O</v>
          </cell>
          <cell r="E35" t="str">
            <v>M3</v>
          </cell>
          <cell r="F35">
            <v>12.874049999999999</v>
          </cell>
          <cell r="G35">
            <v>391.58</v>
          </cell>
          <cell r="H35">
            <v>489.48</v>
          </cell>
          <cell r="I35">
            <v>6301.59</v>
          </cell>
          <cell r="J35">
            <v>0.25</v>
          </cell>
        </row>
        <row r="36">
          <cell r="A36" t="str">
            <v>3.3.6</v>
          </cell>
          <cell r="B36" t="str">
            <v>15566/001</v>
          </cell>
          <cell r="C36" t="str">
            <v>SINAPI EMLURB</v>
          </cell>
          <cell r="D36" t="str">
            <v>FERRO CA-50</v>
          </cell>
          <cell r="E36" t="str">
            <v>KG</v>
          </cell>
          <cell r="F36">
            <v>326.49696450000005</v>
          </cell>
          <cell r="G36">
            <v>6.2</v>
          </cell>
          <cell r="H36">
            <v>7.75</v>
          </cell>
          <cell r="I36">
            <v>2530.35</v>
          </cell>
          <cell r="J36">
            <v>0.25</v>
          </cell>
        </row>
        <row r="37">
          <cell r="A37" t="str">
            <v>3.3.7</v>
          </cell>
          <cell r="B37" t="str">
            <v>15566/002</v>
          </cell>
          <cell r="C37" t="str">
            <v>SINAPI EMLURB</v>
          </cell>
          <cell r="D37" t="str">
            <v>FERRO CA-60</v>
          </cell>
          <cell r="E37" t="str">
            <v>KG</v>
          </cell>
          <cell r="F37">
            <v>155.73023109999997</v>
          </cell>
          <cell r="G37">
            <v>6.26</v>
          </cell>
          <cell r="H37">
            <v>7.83</v>
          </cell>
          <cell r="I37">
            <v>1219.3699999999999</v>
          </cell>
          <cell r="J37">
            <v>0.25</v>
          </cell>
        </row>
        <row r="38">
          <cell r="A38">
            <v>0</v>
          </cell>
          <cell r="B38">
            <v>0</v>
          </cell>
          <cell r="C38">
            <v>0</v>
          </cell>
          <cell r="D38" t="str">
            <v/>
          </cell>
          <cell r="E38" t="str">
            <v/>
          </cell>
          <cell r="F38">
            <v>0</v>
          </cell>
          <cell r="G38" t="str">
            <v/>
          </cell>
          <cell r="H38" t="str">
            <v/>
          </cell>
          <cell r="I38">
            <v>0</v>
          </cell>
          <cell r="J38">
            <v>0</v>
          </cell>
        </row>
        <row r="39">
          <cell r="A39" t="str">
            <v>3.4</v>
          </cell>
          <cell r="B39">
            <v>0</v>
          </cell>
          <cell r="C39">
            <v>0</v>
          </cell>
          <cell r="D39" t="str">
            <v>SUPORTE ÀS CAIXAS DÁGUA</v>
          </cell>
          <cell r="E39" t="str">
            <v/>
          </cell>
          <cell r="F39">
            <v>0</v>
          </cell>
          <cell r="G39" t="str">
            <v/>
          </cell>
          <cell r="H39" t="str">
            <v/>
          </cell>
          <cell r="I39">
            <v>0</v>
          </cell>
          <cell r="J39">
            <v>0</v>
          </cell>
        </row>
        <row r="40">
          <cell r="A40">
            <v>0</v>
          </cell>
          <cell r="B40">
            <v>0</v>
          </cell>
          <cell r="C40">
            <v>0</v>
          </cell>
          <cell r="D40" t="str">
            <v/>
          </cell>
          <cell r="E40" t="str">
            <v/>
          </cell>
          <cell r="F40">
            <v>0</v>
          </cell>
          <cell r="G40" t="str">
            <v/>
          </cell>
          <cell r="H40" t="str">
            <v/>
          </cell>
          <cell r="I40">
            <v>0</v>
          </cell>
          <cell r="J40">
            <v>0</v>
          </cell>
        </row>
        <row r="41">
          <cell r="A41" t="str">
            <v>3.4.1</v>
          </cell>
          <cell r="B41" t="str">
            <v>15561/003</v>
          </cell>
          <cell r="C41" t="str">
            <v>SINAPI EMLURB</v>
          </cell>
          <cell r="D41" t="str">
            <v>FORMAS PARA PILARES</v>
          </cell>
          <cell r="E41" t="str">
            <v>M2</v>
          </cell>
          <cell r="F41">
            <v>17.248000000000001</v>
          </cell>
          <cell r="G41">
            <v>68.62</v>
          </cell>
          <cell r="H41">
            <v>85.78</v>
          </cell>
          <cell r="I41">
            <v>1479.53</v>
          </cell>
          <cell r="J41">
            <v>0.25</v>
          </cell>
        </row>
        <row r="42">
          <cell r="A42" t="str">
            <v>3.4.2</v>
          </cell>
          <cell r="B42" t="str">
            <v>15561/001</v>
          </cell>
          <cell r="C42" t="str">
            <v>SINAPI EMLURB</v>
          </cell>
          <cell r="D42" t="str">
            <v>FORMAS PARA LAJES</v>
          </cell>
          <cell r="E42" t="str">
            <v>M2</v>
          </cell>
          <cell r="F42">
            <v>14.118</v>
          </cell>
          <cell r="G42">
            <v>56.48</v>
          </cell>
          <cell r="H42">
            <v>70.599999999999994</v>
          </cell>
          <cell r="I42">
            <v>996.73</v>
          </cell>
          <cell r="J42">
            <v>0.25</v>
          </cell>
        </row>
        <row r="43">
          <cell r="A43" t="str">
            <v>3.4.3</v>
          </cell>
          <cell r="B43" t="str">
            <v>15561/002</v>
          </cell>
          <cell r="C43" t="str">
            <v>SINAPI EMLURB</v>
          </cell>
          <cell r="D43" t="str">
            <v>FORMAS PARA VIGAS</v>
          </cell>
          <cell r="E43" t="str">
            <v>M2</v>
          </cell>
          <cell r="F43">
            <v>15.64</v>
          </cell>
          <cell r="G43">
            <v>70.53</v>
          </cell>
          <cell r="H43">
            <v>88.16</v>
          </cell>
          <cell r="I43">
            <v>1378.82</v>
          </cell>
          <cell r="J43">
            <v>0.25</v>
          </cell>
        </row>
        <row r="44">
          <cell r="A44" t="str">
            <v>3.4.4</v>
          </cell>
          <cell r="B44" t="str">
            <v>74138/004</v>
          </cell>
          <cell r="C44" t="str">
            <v>SINAPI SERVIÇO</v>
          </cell>
          <cell r="D44" t="str">
            <v>CONCRETO USINADO BOMBEADO FCK=30MPA, INCLUSIVE LANCAMENTO E ADENSAMENT   O</v>
          </cell>
          <cell r="E44" t="str">
            <v>M3</v>
          </cell>
          <cell r="F44">
            <v>0.93100000000000005</v>
          </cell>
          <cell r="G44">
            <v>391.58</v>
          </cell>
          <cell r="H44">
            <v>489.48</v>
          </cell>
          <cell r="I44">
            <v>455.71</v>
          </cell>
          <cell r="J44">
            <v>0.25</v>
          </cell>
        </row>
        <row r="45">
          <cell r="A45" t="str">
            <v>3.4.5</v>
          </cell>
          <cell r="B45" t="str">
            <v>74138/004</v>
          </cell>
          <cell r="C45" t="str">
            <v>SINAPI SERVIÇO</v>
          </cell>
          <cell r="D45" t="str">
            <v>CONCRETO USINADO BOMBEADO FCK=30MPA, INCLUSIVE LANCAMENTO E ADENSAMENT   O</v>
          </cell>
          <cell r="E45" t="str">
            <v>M3</v>
          </cell>
          <cell r="F45">
            <v>3.2907000000000002</v>
          </cell>
          <cell r="G45">
            <v>391.58</v>
          </cell>
          <cell r="H45">
            <v>489.48</v>
          </cell>
          <cell r="I45">
            <v>1610.73</v>
          </cell>
          <cell r="J45">
            <v>0.25</v>
          </cell>
        </row>
        <row r="46">
          <cell r="A46" t="str">
            <v>3.4.6</v>
          </cell>
          <cell r="B46" t="str">
            <v>15566/001</v>
          </cell>
          <cell r="C46" t="str">
            <v>SINAPI EMLURB</v>
          </cell>
          <cell r="D46" t="str">
            <v>FERRO CA-50</v>
          </cell>
          <cell r="E46" t="str">
            <v>KG</v>
          </cell>
          <cell r="F46">
            <v>300.06310999999999</v>
          </cell>
          <cell r="G46">
            <v>6.2</v>
          </cell>
          <cell r="H46">
            <v>7.75</v>
          </cell>
          <cell r="I46">
            <v>2325.4899999999998</v>
          </cell>
          <cell r="J46">
            <v>0.25</v>
          </cell>
        </row>
        <row r="47">
          <cell r="A47" t="str">
            <v>3.4.7</v>
          </cell>
          <cell r="B47" t="str">
            <v>COMPS21001</v>
          </cell>
          <cell r="C47" t="str">
            <v>COMPOSIÇÃO</v>
          </cell>
          <cell r="D47" t="str">
            <v>FUROS EM CONCRETO Ø16 X 550MM - EXECUÇÃO</v>
          </cell>
          <cell r="E47" t="str">
            <v>UND</v>
          </cell>
          <cell r="F47">
            <v>16</v>
          </cell>
          <cell r="G47">
            <v>17.02</v>
          </cell>
          <cell r="H47">
            <v>21.28</v>
          </cell>
          <cell r="I47">
            <v>340.48</v>
          </cell>
          <cell r="J47">
            <v>0.25</v>
          </cell>
        </row>
        <row r="48">
          <cell r="A48">
            <v>0</v>
          </cell>
          <cell r="B48">
            <v>0</v>
          </cell>
          <cell r="C48">
            <v>0</v>
          </cell>
          <cell r="D48" t="str">
            <v/>
          </cell>
          <cell r="E48" t="str">
            <v/>
          </cell>
          <cell r="F48">
            <v>0</v>
          </cell>
          <cell r="G48" t="str">
            <v/>
          </cell>
          <cell r="H48" t="str">
            <v/>
          </cell>
          <cell r="I48">
            <v>0</v>
          </cell>
          <cell r="J48">
            <v>0</v>
          </cell>
        </row>
        <row r="49">
          <cell r="A49" t="str">
            <v>3.5</v>
          </cell>
          <cell r="B49">
            <v>0</v>
          </cell>
          <cell r="C49">
            <v>0</v>
          </cell>
          <cell r="D49" t="str">
            <v>QUIOSQUES</v>
          </cell>
          <cell r="E49" t="str">
            <v/>
          </cell>
          <cell r="F49">
            <v>0</v>
          </cell>
          <cell r="G49" t="str">
            <v/>
          </cell>
          <cell r="H49" t="str">
            <v/>
          </cell>
          <cell r="I49">
            <v>0</v>
          </cell>
          <cell r="J49">
            <v>0</v>
          </cell>
        </row>
        <row r="50">
          <cell r="A50">
            <v>0</v>
          </cell>
          <cell r="B50">
            <v>0</v>
          </cell>
          <cell r="C50">
            <v>0</v>
          </cell>
          <cell r="D50" t="str">
            <v/>
          </cell>
          <cell r="E50" t="str">
            <v/>
          </cell>
          <cell r="F50">
            <v>0</v>
          </cell>
          <cell r="G50" t="str">
            <v/>
          </cell>
          <cell r="H50" t="str">
            <v/>
          </cell>
          <cell r="I50">
            <v>0</v>
          </cell>
          <cell r="J50">
            <v>0</v>
          </cell>
        </row>
        <row r="51">
          <cell r="A51" t="str">
            <v>3.5.1</v>
          </cell>
          <cell r="B51" t="str">
            <v>73965/010</v>
          </cell>
          <cell r="C51" t="str">
            <v>SINAPI SERVIÇO</v>
          </cell>
          <cell r="D51" t="str">
            <v>ESCAVACAO MANUAL DE VALA EM   MATERIAL DE 1A CATEGORIA ATE 1,5M EXCLUIN   DO ESGOTAMENTO / ESCORAMENTO</v>
          </cell>
          <cell r="E51" t="str">
            <v>M3</v>
          </cell>
          <cell r="F51">
            <v>8.75</v>
          </cell>
          <cell r="G51">
            <v>42.92</v>
          </cell>
          <cell r="H51">
            <v>53.65</v>
          </cell>
          <cell r="I51">
            <v>469.44</v>
          </cell>
          <cell r="J51">
            <v>0.25</v>
          </cell>
        </row>
        <row r="52">
          <cell r="A52" t="str">
            <v>3.5.2</v>
          </cell>
          <cell r="B52" t="str">
            <v>74138/004</v>
          </cell>
          <cell r="C52" t="str">
            <v>SINAPI SERVIÇO</v>
          </cell>
          <cell r="D52" t="str">
            <v>CONCRETO USINADO BOMBEADO FCK=30MPA, INCLUSIVE LANCAMENTO E ADENSAMENT   O</v>
          </cell>
          <cell r="E52" t="str">
            <v>M3</v>
          </cell>
          <cell r="F52">
            <v>3.5972499999999998</v>
          </cell>
          <cell r="G52">
            <v>391.58</v>
          </cell>
          <cell r="H52">
            <v>489.48</v>
          </cell>
          <cell r="I52">
            <v>1760.78</v>
          </cell>
          <cell r="J52">
            <v>0.25</v>
          </cell>
        </row>
        <row r="53">
          <cell r="A53" t="str">
            <v>3.5.3</v>
          </cell>
          <cell r="B53">
            <v>5652</v>
          </cell>
          <cell r="C53" t="str">
            <v>SINAPI SERVIÇO</v>
          </cell>
          <cell r="D53" t="str">
            <v>CONCRETO NAO ESTRUTURAL, CONSUMO 150KG/M3, PREPARO COM BETONEIRA, SEM    LANCAMENTO</v>
          </cell>
          <cell r="E53" t="str">
            <v>M3</v>
          </cell>
          <cell r="F53">
            <v>1.25</v>
          </cell>
          <cell r="G53">
            <v>240.6</v>
          </cell>
          <cell r="H53">
            <v>300.75</v>
          </cell>
          <cell r="I53">
            <v>375.94</v>
          </cell>
          <cell r="J53">
            <v>0.25</v>
          </cell>
        </row>
        <row r="54">
          <cell r="A54" t="str">
            <v>3.5.4</v>
          </cell>
          <cell r="B54" t="str">
            <v>15566/001</v>
          </cell>
          <cell r="C54" t="str">
            <v>SINAPI EMLURB</v>
          </cell>
          <cell r="D54" t="str">
            <v>FERRO CA-50</v>
          </cell>
          <cell r="E54" t="str">
            <v>KG</v>
          </cell>
          <cell r="F54">
            <v>42.248699999999999</v>
          </cell>
          <cell r="G54">
            <v>6.2</v>
          </cell>
          <cell r="H54">
            <v>7.75</v>
          </cell>
          <cell r="I54">
            <v>327.43</v>
          </cell>
          <cell r="J54">
            <v>0.25</v>
          </cell>
        </row>
        <row r="55">
          <cell r="A55" t="str">
            <v>3.5.5</v>
          </cell>
          <cell r="B55" t="str">
            <v>15566/002</v>
          </cell>
          <cell r="C55" t="str">
            <v>SINAPI EMLURB</v>
          </cell>
          <cell r="D55" t="str">
            <v>FERRO CA-60</v>
          </cell>
          <cell r="E55" t="str">
            <v>KG</v>
          </cell>
          <cell r="F55">
            <v>19.075500000000002</v>
          </cell>
          <cell r="G55">
            <v>6.26</v>
          </cell>
          <cell r="H55">
            <v>7.83</v>
          </cell>
          <cell r="I55">
            <v>149.36000000000001</v>
          </cell>
          <cell r="J55">
            <v>0.25</v>
          </cell>
        </row>
        <row r="56">
          <cell r="A56" t="str">
            <v>3.5.6</v>
          </cell>
          <cell r="B56" t="str">
            <v>COMPS21002</v>
          </cell>
          <cell r="C56" t="str">
            <v>COMPOSIÇÃO</v>
          </cell>
          <cell r="D56" t="str">
            <v>ARMAÇÃO EM TELA DE ACO SOLDADA CA-60, Q-196 (3,11 KG/M2), DIAMETRO DO FIO = 5,00 MM, LARGURA = 2,45 M,ESPACAMENTO = 10 X 10 CM</v>
          </cell>
          <cell r="E56" t="str">
            <v>KG</v>
          </cell>
          <cell r="F56">
            <v>77.75</v>
          </cell>
          <cell r="G56">
            <v>7.92</v>
          </cell>
          <cell r="H56">
            <v>9.9</v>
          </cell>
          <cell r="I56">
            <v>769.73</v>
          </cell>
          <cell r="J56">
            <v>0.25</v>
          </cell>
        </row>
        <row r="57">
          <cell r="A57" t="str">
            <v>3.5.7</v>
          </cell>
          <cell r="B57" t="str">
            <v>COTSV21001</v>
          </cell>
          <cell r="C57" t="str">
            <v>COTAÇÃO</v>
          </cell>
          <cell r="D57" t="str">
            <v>FORNECIMENTO E MONTAGEM DE ESTRUTURA METALICA DOS QUIOSQUES, COMPOSTO POR: 2XCR (150X75X25X#6,35), CHAPA LISA #1/4", CHAPA LISA #3/8", BARRA REDONDA Ø3/8"(CHUMBADORES), PERFIL TUBULAR Ø 152 X #4,75, E DEMAIS ELEMENTOS NECESSÁRIOS A SUA EXECUÇÃO</v>
          </cell>
          <cell r="E57" t="str">
            <v>KG</v>
          </cell>
          <cell r="F57">
            <v>891.49149999999997</v>
          </cell>
          <cell r="G57">
            <v>13.363905359928999</v>
          </cell>
          <cell r="H57">
            <v>15.61</v>
          </cell>
          <cell r="I57">
            <v>13916.18</v>
          </cell>
          <cell r="J57">
            <v>0.16800000000000001</v>
          </cell>
        </row>
        <row r="58">
          <cell r="A58" t="str">
            <v>3.5.8</v>
          </cell>
          <cell r="B58" t="str">
            <v>COMPS21003</v>
          </cell>
          <cell r="C58" t="str">
            <v>COMPOSIÇÃO</v>
          </cell>
          <cell r="D58" t="str">
            <v>PINTURA DE FUNDO EM PRIMER ACRÍLICO, EM DUAS DEMÃOS, ESPESSURA POR DEMÃO (40µM).</v>
          </cell>
          <cell r="E58" t="str">
            <v>M2</v>
          </cell>
          <cell r="F58">
            <v>32.400000000000006</v>
          </cell>
          <cell r="G58">
            <v>12.14</v>
          </cell>
          <cell r="H58">
            <v>15.18</v>
          </cell>
          <cell r="I58">
            <v>491.83</v>
          </cell>
          <cell r="J58">
            <v>0.25</v>
          </cell>
        </row>
        <row r="59">
          <cell r="A59" t="str">
            <v>3.5.9</v>
          </cell>
          <cell r="B59" t="str">
            <v>COMPS21004</v>
          </cell>
          <cell r="C59" t="str">
            <v>COMPOSIÇÃO</v>
          </cell>
          <cell r="D59" t="str">
            <v xml:space="preserve">PINTURA DE ACABAMENTO EM ESMALTE ACRÍLICO, EM DUAS DEMÃOS, ESPESSURA POR DEMÃO (50µM), CONFORME CORES ESPEFICICADAS EM PROJETO ARQUITETÔNICO. </v>
          </cell>
          <cell r="E59" t="str">
            <v>M2</v>
          </cell>
          <cell r="F59">
            <v>32.400000000000006</v>
          </cell>
          <cell r="G59">
            <v>25.11</v>
          </cell>
          <cell r="H59">
            <v>31.39</v>
          </cell>
          <cell r="I59">
            <v>1017.04</v>
          </cell>
          <cell r="J59">
            <v>0.25</v>
          </cell>
        </row>
        <row r="60">
          <cell r="A60" t="str">
            <v>3.5.10</v>
          </cell>
          <cell r="B60" t="str">
            <v>COTSV21003</v>
          </cell>
          <cell r="C60" t="str">
            <v>COTAÇÃO</v>
          </cell>
          <cell r="D60" t="str">
            <v>FORNECIMENTO E MONTAGEM DE MEMBRANA EM TECIDO SINTÉTICO COM FIOS DE POLIÉSTER DE ALTA TENACIDADE, PRÉ TENSIONADOS, AMALGAMADOS EM PVC, FIAÇÃO 1100/1670 DTEX, PESO 1050 G/M2, ESPESSURA 0,78MM, RESISTÊNCIA 560/560 KGF/5 CM, RETARDANTE AO FOGO (NORMAS EUROPÉIAS CLASSE M1/NFP 92-507/B1-DIN4102-1), PELÍCULA ANTIADERENTE DE PARTÍCULAS, ALTA RESISTÊNCIA AOS RAIOS UV, GARANTIA 10 ANOS MARCA FERRARI PRECONTRAINT 1202.S2 - BRANCO TRANSLUCIDO, INCLUSIVE FERAGENS, FORNECIMENTO E INSTALAÇÃO.</v>
          </cell>
          <cell r="E60" t="str">
            <v>M2</v>
          </cell>
          <cell r="F60">
            <v>48</v>
          </cell>
          <cell r="G60">
            <v>2030.3520129708897</v>
          </cell>
          <cell r="H60">
            <v>2371.4499999999998</v>
          </cell>
          <cell r="I60">
            <v>113829.6</v>
          </cell>
          <cell r="J60">
            <v>0.16800000000000001</v>
          </cell>
        </row>
        <row r="61">
          <cell r="A61">
            <v>0</v>
          </cell>
          <cell r="B61">
            <v>0</v>
          </cell>
          <cell r="C61">
            <v>0</v>
          </cell>
          <cell r="D61" t="str">
            <v/>
          </cell>
          <cell r="E61" t="str">
            <v/>
          </cell>
          <cell r="F61">
            <v>0</v>
          </cell>
          <cell r="G61" t="str">
            <v/>
          </cell>
          <cell r="H61" t="str">
            <v/>
          </cell>
          <cell r="I61">
            <v>0</v>
          </cell>
          <cell r="J61">
            <v>0</v>
          </cell>
        </row>
        <row r="62">
          <cell r="A62" t="str">
            <v>3.6</v>
          </cell>
          <cell r="B62">
            <v>0</v>
          </cell>
          <cell r="C62">
            <v>0</v>
          </cell>
          <cell r="D62" t="str">
            <v>LANTERNIM</v>
          </cell>
          <cell r="E62" t="str">
            <v/>
          </cell>
          <cell r="F62">
            <v>0</v>
          </cell>
          <cell r="G62" t="str">
            <v/>
          </cell>
          <cell r="H62" t="str">
            <v/>
          </cell>
          <cell r="I62">
            <v>0</v>
          </cell>
          <cell r="J62">
            <v>0</v>
          </cell>
        </row>
        <row r="63">
          <cell r="A63">
            <v>0</v>
          </cell>
          <cell r="B63">
            <v>0</v>
          </cell>
          <cell r="C63">
            <v>0</v>
          </cell>
          <cell r="D63" t="str">
            <v/>
          </cell>
          <cell r="E63" t="str">
            <v/>
          </cell>
          <cell r="F63">
            <v>0</v>
          </cell>
          <cell r="G63" t="str">
            <v/>
          </cell>
          <cell r="H63" t="str">
            <v/>
          </cell>
          <cell r="I63">
            <v>0</v>
          </cell>
          <cell r="J63">
            <v>0</v>
          </cell>
        </row>
        <row r="64">
          <cell r="A64" t="str">
            <v>3.6.1</v>
          </cell>
          <cell r="B64" t="str">
            <v>COTSV21002</v>
          </cell>
          <cell r="C64" t="str">
            <v>COTAÇÃO</v>
          </cell>
          <cell r="D64" t="str">
            <v>FORNECIMENTO E MONTAGEM DE ESTRUTURA METALICA DO LANTERMIN COMPOSTO POR: PERFIL TUBULAR RETANGULAR 40 X 60 X #3, E DEMAIS ELEMENTOS NECESSÁRIOS A SUA EXECUÇÃO</v>
          </cell>
          <cell r="E64" t="str">
            <v>KG</v>
          </cell>
          <cell r="F64">
            <v>124.03999999999999</v>
          </cell>
          <cell r="G64">
            <v>13.363905359928999</v>
          </cell>
          <cell r="H64">
            <v>15.61</v>
          </cell>
          <cell r="I64">
            <v>1936.26</v>
          </cell>
          <cell r="J64">
            <v>0.16800000000000001</v>
          </cell>
        </row>
        <row r="65">
          <cell r="A65" t="str">
            <v>3.6.2</v>
          </cell>
          <cell r="B65" t="str">
            <v>COMPS21005</v>
          </cell>
          <cell r="C65" t="str">
            <v>COMPOSIÇÃO</v>
          </cell>
          <cell r="D65" t="str">
            <v>PINTURA DE FUNDO EM ZARCÃO, EM DUAS DEMÃOS, ESPESSURA POR DEMÃO (40µM).</v>
          </cell>
          <cell r="E65" t="str">
            <v>M2</v>
          </cell>
          <cell r="F65">
            <v>5.6000000000000005</v>
          </cell>
          <cell r="G65">
            <v>4.71</v>
          </cell>
          <cell r="H65">
            <v>5.89</v>
          </cell>
          <cell r="I65">
            <v>32.979999999999997</v>
          </cell>
          <cell r="J65">
            <v>0.25</v>
          </cell>
        </row>
        <row r="66">
          <cell r="A66">
            <v>0</v>
          </cell>
          <cell r="B66">
            <v>0</v>
          </cell>
          <cell r="C66">
            <v>0</v>
          </cell>
          <cell r="D66" t="str">
            <v/>
          </cell>
          <cell r="E66" t="str">
            <v/>
          </cell>
          <cell r="F66">
            <v>0</v>
          </cell>
          <cell r="G66" t="str">
            <v/>
          </cell>
          <cell r="H66" t="str">
            <v/>
          </cell>
          <cell r="I66">
            <v>0</v>
          </cell>
          <cell r="J66">
            <v>0</v>
          </cell>
        </row>
        <row r="67">
          <cell r="A67" t="str">
            <v>3.7</v>
          </cell>
          <cell r="B67">
            <v>0</v>
          </cell>
          <cell r="C67">
            <v>0</v>
          </cell>
          <cell r="D67" t="str">
            <v>COBERTA METÁLICA</v>
          </cell>
          <cell r="E67" t="str">
            <v/>
          </cell>
          <cell r="F67">
            <v>0</v>
          </cell>
          <cell r="G67" t="str">
            <v/>
          </cell>
          <cell r="H67" t="str">
            <v/>
          </cell>
          <cell r="I67">
            <v>0</v>
          </cell>
          <cell r="J67">
            <v>0</v>
          </cell>
        </row>
        <row r="68">
          <cell r="A68">
            <v>0</v>
          </cell>
          <cell r="B68">
            <v>0</v>
          </cell>
          <cell r="C68">
            <v>0</v>
          </cell>
          <cell r="D68" t="str">
            <v/>
          </cell>
          <cell r="E68" t="str">
            <v/>
          </cell>
          <cell r="F68">
            <v>0</v>
          </cell>
          <cell r="G68" t="str">
            <v/>
          </cell>
          <cell r="H68" t="str">
            <v/>
          </cell>
          <cell r="I68">
            <v>0</v>
          </cell>
          <cell r="J68">
            <v>0</v>
          </cell>
        </row>
        <row r="69">
          <cell r="A69" t="str">
            <v>3.7.1</v>
          </cell>
          <cell r="B69" t="str">
            <v>COTSV21004</v>
          </cell>
          <cell r="C69" t="str">
            <v>COTAÇÃO</v>
          </cell>
          <cell r="D69" t="str">
            <v>FORNECIMENTO E MONTAGEM DE ESTRUTURA METALICA DO COBERTA METÁLICA COMPOSTO POR: PERFIL "U" DOBRADO DE CHAPA ENRIJECIDO UE125X50X25X4,75MM, PERFIL "L" 50X50X6,35 E DEMAIS ELEMENTOS NECESSÁRIOS A SUA EXECUÇÃO</v>
          </cell>
          <cell r="E69" t="str">
            <v>KG</v>
          </cell>
          <cell r="F69">
            <v>1500.45</v>
          </cell>
          <cell r="G69">
            <v>13.363905359928999</v>
          </cell>
          <cell r="H69">
            <v>15.61</v>
          </cell>
          <cell r="I69">
            <v>23422.02</v>
          </cell>
          <cell r="J69">
            <v>0.16800000000000001</v>
          </cell>
        </row>
        <row r="70">
          <cell r="A70" t="str">
            <v>3.7.2</v>
          </cell>
          <cell r="B70" t="str">
            <v>COMPS21003</v>
          </cell>
          <cell r="C70" t="str">
            <v>COMPOSIÇÃO</v>
          </cell>
          <cell r="D70" t="str">
            <v>PINTURA DE FUNDO EM PRIMER ACRÍLICO, EM DUAS DEMÃOS, ESPESSURA POR DEMÃO (40µM).</v>
          </cell>
          <cell r="E70" t="str">
            <v>M2</v>
          </cell>
          <cell r="F70">
            <v>250.8</v>
          </cell>
          <cell r="G70">
            <v>12.14</v>
          </cell>
          <cell r="H70">
            <v>15.18</v>
          </cell>
          <cell r="I70">
            <v>3807.14</v>
          </cell>
          <cell r="J70">
            <v>0.25</v>
          </cell>
        </row>
        <row r="71">
          <cell r="A71" t="str">
            <v>3.7.3</v>
          </cell>
          <cell r="B71" t="str">
            <v>COMPS21004</v>
          </cell>
          <cell r="C71" t="str">
            <v>COMPOSIÇÃO</v>
          </cell>
          <cell r="D71" t="str">
            <v xml:space="preserve">PINTURA DE ACABAMENTO EM ESMALTE ACRÍLICO, EM DUAS DEMÃOS, ESPESSURA POR DEMÃO (50µM), CONFORME CORES ESPEFICICADAS EM PROJETO ARQUITETÔNICO. </v>
          </cell>
          <cell r="E71" t="str">
            <v>M2</v>
          </cell>
          <cell r="F71">
            <v>250.8</v>
          </cell>
          <cell r="G71">
            <v>25.11</v>
          </cell>
          <cell r="H71">
            <v>31.39</v>
          </cell>
          <cell r="I71">
            <v>7872.61</v>
          </cell>
          <cell r="J71">
            <v>0.25</v>
          </cell>
        </row>
        <row r="72">
          <cell r="A72">
            <v>0</v>
          </cell>
          <cell r="B72">
            <v>0</v>
          </cell>
          <cell r="C72">
            <v>0</v>
          </cell>
          <cell r="D72" t="str">
            <v/>
          </cell>
          <cell r="E72" t="str">
            <v/>
          </cell>
          <cell r="F72">
            <v>0</v>
          </cell>
          <cell r="G72" t="str">
            <v/>
          </cell>
          <cell r="H72" t="str">
            <v/>
          </cell>
          <cell r="I72">
            <v>0</v>
          </cell>
          <cell r="J7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
      <sheetName val="MODELO"/>
      <sheetName val="MOBILIZAÇÃO "/>
      <sheetName val="R.C."/>
      <sheetName val="L.I.COT."/>
      <sheetName val="L.I.SINAPI"/>
      <sheetName val="L.S.SINAPI"/>
      <sheetName val="L.S.EMLURB"/>
      <sheetName val="L.S.COHAB"/>
      <sheetName val="L.S.COMPESA"/>
      <sheetName val="L.S.SICRO 2"/>
      <sheetName val="L.I.SICRO EQ"/>
      <sheetName val="L.I.SICRO MAT"/>
      <sheetName val="L.I.SICRO MO"/>
      <sheetName val="CCOMPS9001"/>
      <sheetName val="CCOMPS9002"/>
      <sheetName val="CCOMPS9003"/>
      <sheetName val="CCOMPS9004"/>
      <sheetName val="CCOMPS9005"/>
      <sheetName val="CCOMPS9006"/>
      <sheetName val="CCOMPS9007"/>
      <sheetName val="CCOMPS9008"/>
      <sheetName val="CCOMPS9009"/>
      <sheetName val="CCOMPS9010"/>
      <sheetName val="CCOMPS9011"/>
      <sheetName val="CCOMPS9012"/>
      <sheetName val="CCOMPS9013"/>
      <sheetName val="CCOMPS9014"/>
      <sheetName val="CCOMPS9015"/>
      <sheetName val="CCOMPS9016"/>
      <sheetName val="CCOMPS9017"/>
      <sheetName val="CCOMPS9018"/>
      <sheetName val="CCOMPS9019"/>
      <sheetName val="CCOMPS9020"/>
      <sheetName val="CCOMPS9021"/>
      <sheetName val="CCOMPS9022"/>
      <sheetName val="CCOMPS9023"/>
      <sheetName val="CCOMPS9024"/>
      <sheetName val="CCOMPS9025"/>
      <sheetName val="CCOMPS9026"/>
      <sheetName val="CCOMPS9027"/>
      <sheetName val="CCOMPS9028"/>
      <sheetName val="CCOMPS9029"/>
      <sheetName val="CCOMPS9030"/>
      <sheetName val="CCOMPS9031"/>
      <sheetName val="CCOMPS9032"/>
      <sheetName val="CCOMPS9033"/>
      <sheetName val="CCOMPS9034"/>
      <sheetName val="CCOMPS9035"/>
      <sheetName val="CCOMPS9036"/>
      <sheetName val="CCOMPS9037"/>
      <sheetName val="CCOMPS9038"/>
      <sheetName val="CCOMPS9039"/>
      <sheetName val="CCOMPS9040"/>
      <sheetName val="CCOMPS9041"/>
      <sheetName val="CCOMPS9042"/>
      <sheetName val="CCOMPS9043"/>
      <sheetName val="CCOMPS9044"/>
      <sheetName val="CCOMPS30001"/>
      <sheetName val="CCOMPS30002"/>
      <sheetName val="CCOMPS30003"/>
      <sheetName val="CCOMPS30004"/>
      <sheetName val="CCOMPS30005"/>
      <sheetName val="CCOMPS30006"/>
      <sheetName val="CCOMPS30007"/>
      <sheetName val="CCOMPS30008"/>
      <sheetName val="CCOMPS30009"/>
      <sheetName val="CCOMPS30010"/>
      <sheetName val="CCOMPS30011"/>
      <sheetName val="CCOMPS30012"/>
      <sheetName val="CCOMPS30013"/>
      <sheetName val="CCOMPS30014"/>
      <sheetName val="CCOMPS30015"/>
      <sheetName val="CCOMPS30016"/>
      <sheetName val="CCOMPS30017"/>
      <sheetName val="CCOMPS30018"/>
      <sheetName val="CCOMPS30019"/>
      <sheetName val="CCOMPS30020"/>
      <sheetName val="CCOMPS30021"/>
      <sheetName val="CCOMPS30022"/>
      <sheetName val="CCOMPS30023"/>
      <sheetName val="CCOMPS30024"/>
      <sheetName val="CCOMPS30025"/>
      <sheetName val="CCOMPS30026"/>
      <sheetName val="CCOMPS30027"/>
      <sheetName val="CCOMPS30028"/>
      <sheetName val="CCOMPS30029"/>
      <sheetName val="CCOMPS30030"/>
      <sheetName val="CCOMPS30031"/>
      <sheetName val="CCOMPS30032"/>
      <sheetName val="CCOMPS30033"/>
      <sheetName val="CCOMPS30034"/>
      <sheetName val="CCOMPS30035"/>
      <sheetName val="CCOMPS30036"/>
      <sheetName val="CCOMPS30037"/>
      <sheetName val="CCOMPS30038"/>
      <sheetName val="CCOMPS30039"/>
      <sheetName val="CCOMPS30040"/>
      <sheetName val="CCOMPS30041"/>
      <sheetName val="CCOMPS30042"/>
      <sheetName val="CCOMPS30043"/>
      <sheetName val="CCOMPS30044"/>
      <sheetName val="CCOMPS30045"/>
      <sheetName val="CCOMPS30046"/>
      <sheetName val="CCOMPS30047"/>
      <sheetName val="CCOMPS30048"/>
      <sheetName val="CCOMPS30049"/>
      <sheetName val="CCOMPS30050"/>
      <sheetName val="CCOMPS30051"/>
      <sheetName val="CCOMPS30052"/>
      <sheetName val="CCOMPS30053"/>
      <sheetName val="CCOMPS30054"/>
      <sheetName val="CCOMPS30055"/>
      <sheetName val="CCOMPS30056"/>
      <sheetName val="CCOMPS30057"/>
      <sheetName val="CCOMPS30058"/>
      <sheetName val="CCOMPS30059"/>
      <sheetName val="CCOMPS30060"/>
      <sheetName val="CCOMPS30061"/>
      <sheetName val="CCOMPS30062"/>
      <sheetName val="CCOMPS30063"/>
      <sheetName val="CCOMPS30064"/>
      <sheetName val="CCOMPS30065"/>
      <sheetName val="CCOMPS30066"/>
      <sheetName val="CCOMPS30067"/>
      <sheetName val="CCOMPS30068"/>
      <sheetName val="CCOMPS30069"/>
      <sheetName val="CCOMPS30070"/>
      <sheetName val="CCOMPS30071"/>
      <sheetName val="CCOMPS30072"/>
      <sheetName val="CCOMPS30073"/>
      <sheetName val="CCOMPS30074"/>
      <sheetName val="CCOMPS30075"/>
      <sheetName val="CCOMPS30076"/>
      <sheetName val="CCOMPS30077"/>
      <sheetName val="CCOMPS30078"/>
      <sheetName val="CCOMPS30079"/>
      <sheetName val="CCOMPS30080"/>
      <sheetName val="CCOMPS30081"/>
      <sheetName val="CC0371"/>
      <sheetName val="CC0372"/>
      <sheetName val="CC0374"/>
      <sheetName val="L.S.EML..."/>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EQUIPAMENTO/COTAÇÕES</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v>0</v>
          </cell>
          <cell r="B11">
            <v>0</v>
          </cell>
          <cell r="C11">
            <v>0</v>
          </cell>
          <cell r="D11">
            <v>0</v>
          </cell>
          <cell r="E11">
            <v>0</v>
          </cell>
          <cell r="F11">
            <v>0</v>
          </cell>
          <cell r="G11">
            <v>0</v>
          </cell>
          <cell r="H11">
            <v>0</v>
          </cell>
          <cell r="I11">
            <v>0</v>
          </cell>
          <cell r="J11">
            <v>0</v>
          </cell>
        </row>
        <row r="12">
          <cell r="A12" t="str">
            <v>4.0</v>
          </cell>
          <cell r="B12">
            <v>0</v>
          </cell>
          <cell r="C12">
            <v>0</v>
          </cell>
          <cell r="D12" t="str">
            <v>INSTALAÇÕES ELÉTRICAS</v>
          </cell>
          <cell r="E12" t="str">
            <v/>
          </cell>
          <cell r="F12">
            <v>0</v>
          </cell>
          <cell r="G12" t="str">
            <v/>
          </cell>
          <cell r="H12">
            <v>0</v>
          </cell>
          <cell r="I12">
            <v>293034.43</v>
          </cell>
          <cell r="J12">
            <v>0</v>
          </cell>
        </row>
        <row r="13">
          <cell r="A13">
            <v>0</v>
          </cell>
          <cell r="B13">
            <v>0</v>
          </cell>
          <cell r="C13">
            <v>0</v>
          </cell>
          <cell r="D13" t="str">
            <v/>
          </cell>
          <cell r="E13" t="str">
            <v/>
          </cell>
          <cell r="F13">
            <v>0</v>
          </cell>
          <cell r="G13" t="str">
            <v/>
          </cell>
          <cell r="H13" t="str">
            <v/>
          </cell>
          <cell r="I13">
            <v>0</v>
          </cell>
          <cell r="J13">
            <v>0</v>
          </cell>
        </row>
        <row r="14">
          <cell r="A14" t="str">
            <v>4.1</v>
          </cell>
          <cell r="B14">
            <v>0</v>
          </cell>
          <cell r="C14">
            <v>0</v>
          </cell>
          <cell r="D14" t="str">
            <v>INST. ELÉTRICAS - BAIXA TENSÃO</v>
          </cell>
          <cell r="E14" t="str">
            <v/>
          </cell>
          <cell r="F14">
            <v>0</v>
          </cell>
          <cell r="G14" t="str">
            <v/>
          </cell>
          <cell r="H14" t="str">
            <v/>
          </cell>
          <cell r="I14">
            <v>0</v>
          </cell>
          <cell r="J14">
            <v>0</v>
          </cell>
        </row>
        <row r="15">
          <cell r="A15">
            <v>0</v>
          </cell>
          <cell r="B15">
            <v>0</v>
          </cell>
          <cell r="C15">
            <v>0</v>
          </cell>
          <cell r="D15" t="str">
            <v/>
          </cell>
          <cell r="E15" t="str">
            <v/>
          </cell>
          <cell r="F15">
            <v>0</v>
          </cell>
          <cell r="G15" t="str">
            <v/>
          </cell>
          <cell r="H15" t="str">
            <v/>
          </cell>
          <cell r="I15">
            <v>0</v>
          </cell>
          <cell r="J15">
            <v>0</v>
          </cell>
        </row>
        <row r="16">
          <cell r="A16" t="str">
            <v>4.1.1</v>
          </cell>
          <cell r="B16">
            <v>0</v>
          </cell>
          <cell r="C16">
            <v>0</v>
          </cell>
          <cell r="D16" t="str">
            <v>SISTEMA DE FORÇA / ALIMENTADORES</v>
          </cell>
          <cell r="E16" t="str">
            <v/>
          </cell>
          <cell r="F16">
            <v>0</v>
          </cell>
          <cell r="G16" t="str">
            <v/>
          </cell>
          <cell r="H16" t="str">
            <v/>
          </cell>
          <cell r="I16">
            <v>0</v>
          </cell>
          <cell r="J16">
            <v>0</v>
          </cell>
        </row>
        <row r="17">
          <cell r="A17" t="str">
            <v>4.1.1.1</v>
          </cell>
          <cell r="B17" t="str">
            <v>COMPS30001</v>
          </cell>
          <cell r="C17" t="str">
            <v>COMPOSIÇÃO</v>
          </cell>
          <cell r="D17" t="str">
            <v>FORNECIMENTO E INSTALAÇÃO DE CABO TETRAPOLAR ISOLADO PARA TENSÕES DE 1kV, SEÇÃO NOMINAL 4 X 6mm²,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ell>
          <cell r="E17" t="str">
            <v>M</v>
          </cell>
          <cell r="F17">
            <v>25</v>
          </cell>
          <cell r="G17">
            <v>13.37</v>
          </cell>
          <cell r="H17">
            <v>16.71</v>
          </cell>
          <cell r="I17">
            <v>417.75</v>
          </cell>
          <cell r="J17">
            <v>0.25</v>
          </cell>
        </row>
        <row r="18">
          <cell r="A18" t="str">
            <v>4.1.1.2</v>
          </cell>
          <cell r="B18">
            <v>83419</v>
          </cell>
          <cell r="C18" t="str">
            <v>SINAPI SERVIÇO</v>
          </cell>
          <cell r="D18" t="str">
            <v>CABO DE COBRE ISOLAMENTO TERMOPLASTICO 0,6/1KV 6MM2 ANTI-CHAMA - FORNE   CIMENTO E INSTALACAO</v>
          </cell>
          <cell r="E18" t="str">
            <v>M</v>
          </cell>
          <cell r="F18">
            <v>25</v>
          </cell>
          <cell r="G18">
            <v>6.09</v>
          </cell>
          <cell r="H18">
            <v>7.61</v>
          </cell>
          <cell r="I18">
            <v>190.25</v>
          </cell>
          <cell r="J18">
            <v>0.25</v>
          </cell>
        </row>
        <row r="19">
          <cell r="A19" t="str">
            <v>4.1.1.3</v>
          </cell>
          <cell r="B19" t="str">
            <v>COMPS30002</v>
          </cell>
          <cell r="C19" t="str">
            <v>COMPOSIÇÃO</v>
          </cell>
          <cell r="D19" t="str">
            <v>FORNECIMENTO E INSTALAÇÃO DE CABO TETRAPOLAR ISOLADO PARA TENSÕES DE 1kV, SEÇÃO NOMINAL 4 X 10mm²,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ell>
          <cell r="E19" t="str">
            <v>M</v>
          </cell>
          <cell r="F19">
            <v>25</v>
          </cell>
          <cell r="G19">
            <v>24.16</v>
          </cell>
          <cell r="H19">
            <v>30.2</v>
          </cell>
          <cell r="I19">
            <v>755</v>
          </cell>
          <cell r="J19">
            <v>0.25</v>
          </cell>
        </row>
        <row r="20">
          <cell r="A20" t="str">
            <v>4.1.1.4</v>
          </cell>
          <cell r="B20">
            <v>83420</v>
          </cell>
          <cell r="C20" t="str">
            <v>SINAPI SERVIÇO</v>
          </cell>
          <cell r="D20" t="str">
            <v>CABO DE COBRE ISOLAMENTO TERMOPLASTICO 0,6/1KV 10MM2 ANTI-CHAMA - FORN   ECIMENTO E INSTALACAO</v>
          </cell>
          <cell r="E20" t="str">
            <v>M</v>
          </cell>
          <cell r="F20">
            <v>25</v>
          </cell>
          <cell r="G20">
            <v>8.6</v>
          </cell>
          <cell r="H20">
            <v>10.75</v>
          </cell>
          <cell r="I20">
            <v>268.75</v>
          </cell>
          <cell r="J20">
            <v>0.25</v>
          </cell>
        </row>
        <row r="21">
          <cell r="A21" t="str">
            <v>4.1.1.5</v>
          </cell>
          <cell r="B21" t="str">
            <v>COMPS30003</v>
          </cell>
          <cell r="C21" t="str">
            <v>COMPOSIÇÃO</v>
          </cell>
          <cell r="D21" t="str">
            <v>FORNECIMENTO E INSTALAÇÃO DE CABO TETRAPOLAR ISOLADO PARA TENSÕES DE 1kV, SEÇÃO NOMINAL 4 X 16mm²,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ell>
          <cell r="E21" t="str">
            <v>M</v>
          </cell>
          <cell r="F21">
            <v>40</v>
          </cell>
          <cell r="G21">
            <v>35.39</v>
          </cell>
          <cell r="H21">
            <v>44.24</v>
          </cell>
          <cell r="I21">
            <v>1769.6</v>
          </cell>
          <cell r="J21">
            <v>0.25</v>
          </cell>
        </row>
        <row r="22">
          <cell r="A22" t="str">
            <v>4.1.1.6</v>
          </cell>
          <cell r="B22">
            <v>83421</v>
          </cell>
          <cell r="C22" t="str">
            <v>SINAPI SERVIÇO</v>
          </cell>
          <cell r="D22" t="str">
            <v>CABO DE COBRE ISOLAMENTO TERMOPLASTICO 0,6/1KV 16MM2 ANTI-CHAMA - FORN   ECIMENTO E INSTALACAO</v>
          </cell>
          <cell r="E22" t="str">
            <v>M</v>
          </cell>
          <cell r="F22">
            <v>40</v>
          </cell>
          <cell r="G22">
            <v>12.09</v>
          </cell>
          <cell r="H22">
            <v>15.11</v>
          </cell>
          <cell r="I22">
            <v>604.4</v>
          </cell>
          <cell r="J22">
            <v>0.25</v>
          </cell>
        </row>
        <row r="23">
          <cell r="A23" t="str">
            <v>4.1.1.7</v>
          </cell>
          <cell r="B23" t="str">
            <v>COMPS30004</v>
          </cell>
          <cell r="C23" t="str">
            <v>COMPOSIÇÃO</v>
          </cell>
          <cell r="D23" t="str">
            <v>FORNECIMENTO E INSTALAÇÃO DE CABO TETRAPOLAR ISOLADO PARA TENSÕES DE 1kV, SEÇÃO NOMINAL 4 X 50mm²,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ell>
          <cell r="E23" t="str">
            <v>M</v>
          </cell>
          <cell r="F23">
            <v>10</v>
          </cell>
          <cell r="G23">
            <v>102.75</v>
          </cell>
          <cell r="H23">
            <v>128.44</v>
          </cell>
          <cell r="I23">
            <v>1284.4000000000001</v>
          </cell>
          <cell r="J23">
            <v>0.25</v>
          </cell>
        </row>
        <row r="24">
          <cell r="A24" t="str">
            <v>4.1.1.8</v>
          </cell>
          <cell r="B24">
            <v>83424</v>
          </cell>
          <cell r="C24" t="str">
            <v>SINAPI SERVIÇO</v>
          </cell>
          <cell r="D24" t="str">
            <v>CABO DE COBRE ISOLAMENTO TERMOPLASTICO 0,6/1KV 50MM2 ANTI-CHAMA - FORN   ECIMENTO E INSTALACAO</v>
          </cell>
          <cell r="E24" t="str">
            <v>M</v>
          </cell>
          <cell r="F24">
            <v>10</v>
          </cell>
          <cell r="G24">
            <v>31.98</v>
          </cell>
          <cell r="H24">
            <v>39.979999999999997</v>
          </cell>
          <cell r="I24">
            <v>399.8</v>
          </cell>
          <cell r="J24">
            <v>0.25</v>
          </cell>
        </row>
        <row r="25">
          <cell r="A25" t="str">
            <v>4.1.1.9</v>
          </cell>
          <cell r="B25" t="str">
            <v>COMPS30005</v>
          </cell>
          <cell r="C25" t="str">
            <v>COMPOSIÇÃO</v>
          </cell>
          <cell r="D25" t="str">
            <v>FORNECIMENTO E INSTALAÇÃO DE POSTE DE CONCRETO DT, Ø85mm, COMPRIMENTO 7m, REFORÇADO COM VERGALHÃO DE FERRO #3/8", RESISTÊNCIA 200 daN, CONFORME PADRÃO CELPE DE ENTRADA DE FORNECIMENTO DE ENERGIA.</v>
          </cell>
          <cell r="E25" t="str">
            <v>UND</v>
          </cell>
          <cell r="F25">
            <v>1</v>
          </cell>
          <cell r="G25">
            <v>546.98</v>
          </cell>
          <cell r="H25">
            <v>683.73</v>
          </cell>
          <cell r="I25">
            <v>683.73</v>
          </cell>
          <cell r="J25">
            <v>0.25</v>
          </cell>
        </row>
        <row r="26">
          <cell r="A26" t="str">
            <v>4.1.1.10</v>
          </cell>
          <cell r="B26" t="str">
            <v>COMPS30006</v>
          </cell>
          <cell r="C26" t="str">
            <v>COMPOSIÇÃO</v>
          </cell>
          <cell r="D26" t="str">
            <v>FORNECIMENTO E INSTALAÇÃO DE HASTE DE ATERRAMENTO TIPO COPPERWELD, ALTA CAMADA Ø3/4" x 2,40m</v>
          </cell>
          <cell r="E26" t="str">
            <v>UND</v>
          </cell>
          <cell r="F26">
            <v>9</v>
          </cell>
          <cell r="G26">
            <v>49.680000000000007</v>
          </cell>
          <cell r="H26">
            <v>62.1</v>
          </cell>
          <cell r="I26">
            <v>558.9</v>
          </cell>
          <cell r="J26">
            <v>0.25</v>
          </cell>
        </row>
        <row r="27">
          <cell r="A27" t="str">
            <v>4.1.1.11</v>
          </cell>
          <cell r="B27" t="str">
            <v>COMPS30007</v>
          </cell>
          <cell r="C27" t="str">
            <v>COMPOSIÇÃO</v>
          </cell>
          <cell r="D27" t="str">
            <v>FORNECIMENTO E INSTALAÇÃO DE CAIXA DE MEDIÇÃO TRIFÁSICA, COM ESPAÇO PARA DISJUNTOR TRIPOLAR DE CAIXA MOLDADA, CONFORME ANEXO XI DA NORMA SM04.13-00.01 E SR01.03-00.07</v>
          </cell>
          <cell r="E27" t="str">
            <v>UND</v>
          </cell>
          <cell r="F27">
            <v>1</v>
          </cell>
          <cell r="G27">
            <v>88.992498999999995</v>
          </cell>
          <cell r="H27">
            <v>111.24</v>
          </cell>
          <cell r="I27">
            <v>111.24</v>
          </cell>
          <cell r="J27">
            <v>0.25</v>
          </cell>
        </row>
        <row r="28">
          <cell r="A28" t="str">
            <v>4.1.1.12</v>
          </cell>
          <cell r="B28" t="str">
            <v>COMPS30008</v>
          </cell>
          <cell r="C28" t="str">
            <v>COMPOSIÇÃO</v>
          </cell>
          <cell r="D28" t="str">
            <v>FORNECIMENTO E INSTALAÇÃO DE DISJUNTOR TRIPOLAR DE CAIXA MOLDADA, CORRENTE NOMINAL 125A, TERMOMAGNÉTICO PADRÃO EUROPEU, TENSÃO DE OPERAÇÃO 220Vca, CAPACIDADE DE INTERRUPÇÃO 40kA/220Vca/60Hz, CURVA CARACTERÍSTICA DE DISPARO "C". FIXAÇÃO TIPO ENGATE RÁPIDO SOBRE TRILHO DE 35mm REF:COMPACT NS DA SCHNEIDER ELECTRIC OU EQUIVALENTE TECNICO</v>
          </cell>
          <cell r="E28" t="str">
            <v>UND</v>
          </cell>
          <cell r="F28">
            <v>1</v>
          </cell>
          <cell r="G28">
            <v>363.09999999999997</v>
          </cell>
          <cell r="H28">
            <v>453.88</v>
          </cell>
          <cell r="I28">
            <v>453.88</v>
          </cell>
          <cell r="J28">
            <v>0.25</v>
          </cell>
        </row>
        <row r="29">
          <cell r="A29" t="str">
            <v>4.1.1.13</v>
          </cell>
          <cell r="B29" t="str">
            <v>COMPS30009</v>
          </cell>
          <cell r="C29" t="str">
            <v>COMPOSIÇÃO</v>
          </cell>
          <cell r="D29" t="str">
            <v>FORNECIMENTO E INSTALAÇÃO DE DISPOSITIVO DE PROTEÇÃO CONTRA SURTOS (DPS), CLASSE I+II, VERSÃO EXTRAÍVEL (PLUG-IN), TENSÃO NOMINAL 230V, CAPACIDADE DE INTERRUPÇÃO 25kA, 230Vca/60Hz. FIXAÇÃO TIPO ENGATE RÁPIDO SOBRE TRILHO DE 35mm REF.: PRD1 25r 3P+N DA SCHNEIDER ELECTRIC OU EQUIVALENTE TECNICO</v>
          </cell>
          <cell r="E29" t="str">
            <v>UND</v>
          </cell>
          <cell r="F29">
            <v>1</v>
          </cell>
          <cell r="G29">
            <v>311.39</v>
          </cell>
          <cell r="H29">
            <v>389.24</v>
          </cell>
          <cell r="I29">
            <v>389.24</v>
          </cell>
          <cell r="J29">
            <v>0.25</v>
          </cell>
        </row>
        <row r="30">
          <cell r="A30" t="str">
            <v>4.1.1.14</v>
          </cell>
          <cell r="B30" t="str">
            <v>COMPS30059</v>
          </cell>
          <cell r="C30" t="str">
            <v>COMPOSIÇÃO</v>
          </cell>
          <cell r="D30" t="str">
            <v>FORNECIMENTO E INSTALAÇÃO DE ELETRODUTO CORRUGADO PEAD COR PRETA, ENTERRADO, φ1", FORNECIDO EM ROLOS DE 50m. REF.: TECHDUTO OU EQUIVALENTE TECNICO</v>
          </cell>
          <cell r="E30" t="str">
            <v>M</v>
          </cell>
          <cell r="F30">
            <v>18</v>
          </cell>
          <cell r="G30">
            <v>17.170000000000002</v>
          </cell>
          <cell r="H30">
            <v>21.46</v>
          </cell>
          <cell r="I30">
            <v>386.28</v>
          </cell>
          <cell r="J30">
            <v>0.25</v>
          </cell>
        </row>
        <row r="31">
          <cell r="A31" t="str">
            <v>4.1.1.15</v>
          </cell>
          <cell r="B31" t="str">
            <v>COMPS30063</v>
          </cell>
          <cell r="C31" t="str">
            <v>COMPOSIÇÃO</v>
          </cell>
          <cell r="D31" t="str">
            <v>FORNECIMENTO E INSTALAÇÃO DE ELETRODUTO ROSCÁVEL DE PVC RÍGIDO PRETO Ø3/4", ROSCA "BSP", FORNECIDO EM VARAS DE 3m DE COMPRIMENTO E COM 1 LUVA DE MESMO MATERIAL REF.: TIGRE OU EQUIVALENTE TECNICO</v>
          </cell>
          <cell r="E31" t="str">
            <v>M</v>
          </cell>
          <cell r="F31">
            <v>25</v>
          </cell>
          <cell r="G31">
            <v>10.15</v>
          </cell>
          <cell r="H31">
            <v>12.69</v>
          </cell>
          <cell r="I31">
            <v>317.25</v>
          </cell>
          <cell r="J31">
            <v>0.25</v>
          </cell>
        </row>
        <row r="32">
          <cell r="A32" t="str">
            <v>4.1.1.16</v>
          </cell>
          <cell r="B32" t="str">
            <v>COMPS30064</v>
          </cell>
          <cell r="C32" t="str">
            <v>COMPOSIÇÃO</v>
          </cell>
          <cell r="D32" t="str">
            <v>FORNECIMENTO E INSTALAÇÃO DE ELETRODUTO ROSCÁVEL DE PVC RÍGIDO PRETO Ø1", ROSCA "BSP", FORNECIDO EM VARAS DE 3m DE COMPRIMENTO E COM 1 LUVA DE MESMO MATERIAL REF.: TIGRE OU EQUIVALENTE TECNICO</v>
          </cell>
          <cell r="E32" t="str">
            <v>M</v>
          </cell>
          <cell r="F32">
            <v>40</v>
          </cell>
          <cell r="G32">
            <v>15.53</v>
          </cell>
          <cell r="H32">
            <v>19.41</v>
          </cell>
          <cell r="I32">
            <v>776.4</v>
          </cell>
          <cell r="J32">
            <v>0.25</v>
          </cell>
        </row>
        <row r="33">
          <cell r="A33" t="str">
            <v>4.1.1.17</v>
          </cell>
          <cell r="B33" t="str">
            <v>COMPS30065</v>
          </cell>
          <cell r="C33" t="str">
            <v>COMPOSIÇÃO</v>
          </cell>
          <cell r="D33" t="str">
            <v>FORNECIMENTO E INSTALAÇÃO DE ELETRODUTO ROSCÁVEL DE PVC RÍGIDO PRETO Ø1.1/2", ROSCA "BSP", FORNECIDO EM VARAS DE 3m DE COMPRIMENTO E COM 1 LUVA DE MESMO MATERIAL REF.: TIGRE OU EQUIVALENTE TECNICO</v>
          </cell>
          <cell r="E33" t="str">
            <v>M</v>
          </cell>
          <cell r="F33">
            <v>10</v>
          </cell>
          <cell r="G33">
            <v>24.66</v>
          </cell>
          <cell r="H33">
            <v>30.83</v>
          </cell>
          <cell r="I33">
            <v>308.3</v>
          </cell>
          <cell r="J33">
            <v>0.25</v>
          </cell>
        </row>
        <row r="34">
          <cell r="A34" t="str">
            <v>4.1.1.18</v>
          </cell>
          <cell r="B34" t="str">
            <v>COMPS30023</v>
          </cell>
          <cell r="C34" t="str">
            <v>COMPOSIÇÃO</v>
          </cell>
          <cell r="D34" t="str">
            <v>FORNECIMENTO E INSTALAÇÃO DE CURVA 90 GRAUS  DE PVC RÍGIDO, PARA ELETRODUTO ROSCÁVEL PRETO, Ø3/4" ROSCA "BSP" REF.: TIGRE OU EQUIVALENTE TECNICO</v>
          </cell>
          <cell r="E34" t="str">
            <v>PÇ</v>
          </cell>
          <cell r="F34">
            <v>2</v>
          </cell>
          <cell r="G34">
            <v>6</v>
          </cell>
          <cell r="H34">
            <v>7.5</v>
          </cell>
          <cell r="I34">
            <v>15</v>
          </cell>
          <cell r="J34">
            <v>0.25</v>
          </cell>
        </row>
        <row r="35">
          <cell r="A35" t="str">
            <v>4.1.1.19</v>
          </cell>
          <cell r="B35" t="str">
            <v>COMPS30024</v>
          </cell>
          <cell r="C35" t="str">
            <v>COMPOSIÇÃO</v>
          </cell>
          <cell r="D35" t="str">
            <v>FORNECIMENTO E INSTALAÇÃO DE CURVA 90 GRAUS  DE PVC RÍGIDO, PARA ELETRODUTO ROSCÁVEL PRETO, Ø1" ROSCA "BSP" REF.: TIGRE OU EQUIVALENTE TECNICO</v>
          </cell>
          <cell r="E35" t="str">
            <v>PÇ</v>
          </cell>
          <cell r="F35">
            <v>4</v>
          </cell>
          <cell r="G35">
            <v>10.49</v>
          </cell>
          <cell r="H35">
            <v>13.11</v>
          </cell>
          <cell r="I35">
            <v>52.44</v>
          </cell>
          <cell r="J35">
            <v>0.25</v>
          </cell>
        </row>
        <row r="36">
          <cell r="A36" t="str">
            <v>4.1.1.20</v>
          </cell>
          <cell r="B36" t="str">
            <v>COMPS30025</v>
          </cell>
          <cell r="C36" t="str">
            <v>COMPOSIÇÃO</v>
          </cell>
          <cell r="D36" t="str">
            <v>FORNECIMENTO E INSTALAÇÃO DE CURVA 90 GRAUS  DE PVC RÍGIDO, PARA ELETRODUTO ROSCÁVEL PRETO, Ø1.1/2" ROSCA "BSP" REF.: TIGRE OU EQUIVALENTE TECNICO</v>
          </cell>
          <cell r="E36" t="str">
            <v>PÇ</v>
          </cell>
          <cell r="F36">
            <v>3</v>
          </cell>
          <cell r="G36">
            <v>13.27</v>
          </cell>
          <cell r="H36">
            <v>16.59</v>
          </cell>
          <cell r="I36">
            <v>49.77</v>
          </cell>
          <cell r="J36">
            <v>0.25</v>
          </cell>
        </row>
        <row r="37">
          <cell r="A37" t="str">
            <v>4.1.1.21</v>
          </cell>
          <cell r="B37" t="str">
            <v>COMPS30026</v>
          </cell>
          <cell r="C37" t="str">
            <v>COMPOSIÇÃO</v>
          </cell>
          <cell r="D37" t="str">
            <v>FORNECIMENTO E INSTALAÇÃO DE LUVA  DE PVC RÍGIDO, PARA EMENDA DE  ELETRODUTO ROSCÁVEL PRETO, Ø3/4" ROSCA "BSP" REF.: TIGRE OU EQUIVALENTE TECNICO</v>
          </cell>
          <cell r="E37" t="str">
            <v>PÇ</v>
          </cell>
          <cell r="F37">
            <v>6</v>
          </cell>
          <cell r="G37">
            <v>2.7199999999999998</v>
          </cell>
          <cell r="H37">
            <v>3.4</v>
          </cell>
          <cell r="I37">
            <v>20.399999999999999</v>
          </cell>
          <cell r="J37">
            <v>0.25</v>
          </cell>
        </row>
        <row r="38">
          <cell r="A38" t="str">
            <v>4.1.1.22</v>
          </cell>
          <cell r="B38" t="str">
            <v>COMPS30027</v>
          </cell>
          <cell r="C38" t="str">
            <v>COMPOSIÇÃO</v>
          </cell>
          <cell r="D38" t="str">
            <v>FORNECIMENTO E INSTALAÇÃO DE LUVA  DE PVC RÍGIDO, PARA EMENDA DE  ELETRODUTO ROSCÁVEL PRETO, Ø1" ROSCA "BSP" REF.: TIGRE OU EQUIVALENTE TECNICO</v>
          </cell>
          <cell r="E38" t="str">
            <v>PÇ</v>
          </cell>
          <cell r="F38">
            <v>12</v>
          </cell>
          <cell r="G38">
            <v>3.7600000000000002</v>
          </cell>
          <cell r="H38">
            <v>4.7</v>
          </cell>
          <cell r="I38">
            <v>56.4</v>
          </cell>
          <cell r="J38">
            <v>0.25</v>
          </cell>
        </row>
        <row r="39">
          <cell r="A39" t="str">
            <v>4.1.1.23</v>
          </cell>
          <cell r="B39" t="str">
            <v>COMPS30028</v>
          </cell>
          <cell r="C39" t="str">
            <v>COMPOSIÇÃO</v>
          </cell>
          <cell r="D39" t="str">
            <v>FORNECIMENTO E INSTALAÇÃO DE LUVA  DE PVC RÍGIDO, PARA EMENDA DE  ELETRODUTO ROSCÁVEL PRETO, Ø1.1/2" ROSCA "BSP" REF.: TIGRE OU EQUIVALENTE TECNICO</v>
          </cell>
          <cell r="E39" t="str">
            <v>PÇ</v>
          </cell>
          <cell r="F39">
            <v>8</v>
          </cell>
          <cell r="G39">
            <v>7.5100000000000007</v>
          </cell>
          <cell r="H39">
            <v>9.39</v>
          </cell>
          <cell r="I39">
            <v>75.12</v>
          </cell>
          <cell r="J39">
            <v>0.25</v>
          </cell>
        </row>
        <row r="40">
          <cell r="A40" t="str">
            <v>4.1.1.24</v>
          </cell>
          <cell r="B40" t="str">
            <v>COMPS30010</v>
          </cell>
          <cell r="C40" t="str">
            <v>COMPOSIÇÃO</v>
          </cell>
          <cell r="D40" t="str">
            <v>FORNECIMENTO E INSTALAÇÃO DE CAIXA OCTOGONAL 4"x4" DE EMBUTIR, COM FUNDO MÓVEL,  EM MATERIAL TERMOPLÁSTICO (PVC) REF.: TIGRE OU EQUIVALENTE TECNICO</v>
          </cell>
          <cell r="E40" t="str">
            <v>PÇ</v>
          </cell>
          <cell r="F40">
            <v>15</v>
          </cell>
          <cell r="G40">
            <v>7.76</v>
          </cell>
          <cell r="H40">
            <v>9.6999999999999993</v>
          </cell>
          <cell r="I40">
            <v>145.5</v>
          </cell>
          <cell r="J40">
            <v>0.25</v>
          </cell>
        </row>
        <row r="41">
          <cell r="A41" t="str">
            <v>4.1.1.25</v>
          </cell>
          <cell r="B41">
            <v>72135</v>
          </cell>
          <cell r="C41" t="str">
            <v>SINAPI SERVIÇO</v>
          </cell>
          <cell r="D41" t="str">
            <v>ABERTURA/FECHAMENTO RASGO ALVENARIA PARA TUBOS, FECHAMENTO COM ARGAMAS   SA TRACO 1:1:6 (CIMENTO, CAL E AREIA)</v>
          </cell>
          <cell r="E41" t="str">
            <v>M</v>
          </cell>
          <cell r="F41">
            <v>29</v>
          </cell>
          <cell r="G41">
            <v>4.0199999999999996</v>
          </cell>
          <cell r="H41">
            <v>5.03</v>
          </cell>
          <cell r="I41">
            <v>145.87</v>
          </cell>
          <cell r="J41">
            <v>0.25</v>
          </cell>
        </row>
        <row r="42">
          <cell r="A42">
            <v>0</v>
          </cell>
          <cell r="B42">
            <v>0</v>
          </cell>
          <cell r="C42">
            <v>0</v>
          </cell>
          <cell r="D42" t="str">
            <v/>
          </cell>
          <cell r="E42" t="str">
            <v/>
          </cell>
          <cell r="F42">
            <v>0</v>
          </cell>
          <cell r="G42" t="str">
            <v/>
          </cell>
          <cell r="H42" t="str">
            <v/>
          </cell>
          <cell r="I42">
            <v>0</v>
          </cell>
          <cell r="J42">
            <v>0</v>
          </cell>
        </row>
        <row r="43">
          <cell r="A43" t="str">
            <v>4.1.2</v>
          </cell>
          <cell r="B43">
            <v>0</v>
          </cell>
          <cell r="C43">
            <v>0</v>
          </cell>
          <cell r="D43" t="str">
            <v>CAIXAS E CONDULETES</v>
          </cell>
          <cell r="E43" t="str">
            <v/>
          </cell>
          <cell r="F43">
            <v>0</v>
          </cell>
          <cell r="G43" t="str">
            <v/>
          </cell>
          <cell r="H43" t="str">
            <v/>
          </cell>
          <cell r="I43">
            <v>0</v>
          </cell>
          <cell r="J43">
            <v>0</v>
          </cell>
        </row>
        <row r="44">
          <cell r="A44" t="str">
            <v>4.1.2.1</v>
          </cell>
          <cell r="B44">
            <v>83387</v>
          </cell>
          <cell r="C44" t="str">
            <v>SINAPI SERVIÇO</v>
          </cell>
          <cell r="D44" t="str">
            <v>CAIXA DE PASSAGEM PVC 4X2" - FORNECIMENTO E INSTALACAO</v>
          </cell>
          <cell r="E44" t="str">
            <v>UN</v>
          </cell>
          <cell r="F44">
            <v>95</v>
          </cell>
          <cell r="G44">
            <v>6.53</v>
          </cell>
          <cell r="H44">
            <v>8.16</v>
          </cell>
          <cell r="I44">
            <v>775.2</v>
          </cell>
          <cell r="J44">
            <v>0.25</v>
          </cell>
        </row>
        <row r="45">
          <cell r="A45" t="str">
            <v>4.1.2.2</v>
          </cell>
          <cell r="B45" t="str">
            <v>COMPS30010</v>
          </cell>
          <cell r="C45" t="str">
            <v>COMPOSIÇÃO</v>
          </cell>
          <cell r="D45" t="str">
            <v>FORNECIMENTO E INSTALAÇÃO DE CAIXA OCTOGONAL 4"x4" DE EMBUTIR, COM FUNDO MÓVEL,  EM MATERIAL TERMOPLÁSTICO (PVC) REF.: TIGRE OU EQUIVALENTE TECNICO</v>
          </cell>
          <cell r="E45" t="str">
            <v>PÇ</v>
          </cell>
          <cell r="F45">
            <v>115</v>
          </cell>
          <cell r="G45">
            <v>7.76</v>
          </cell>
          <cell r="H45">
            <v>9.6999999999999993</v>
          </cell>
          <cell r="I45">
            <v>1115.5</v>
          </cell>
          <cell r="J45">
            <v>0.25</v>
          </cell>
        </row>
        <row r="46">
          <cell r="A46">
            <v>0</v>
          </cell>
          <cell r="B46">
            <v>0</v>
          </cell>
          <cell r="C46">
            <v>0</v>
          </cell>
          <cell r="D46" t="str">
            <v/>
          </cell>
          <cell r="E46" t="str">
            <v/>
          </cell>
          <cell r="F46">
            <v>0</v>
          </cell>
          <cell r="G46" t="str">
            <v/>
          </cell>
          <cell r="H46" t="str">
            <v/>
          </cell>
          <cell r="I46">
            <v>0</v>
          </cell>
          <cell r="J46">
            <v>0</v>
          </cell>
        </row>
        <row r="47">
          <cell r="A47" t="str">
            <v>4.1.3</v>
          </cell>
          <cell r="B47">
            <v>0</v>
          </cell>
          <cell r="C47">
            <v>0</v>
          </cell>
          <cell r="D47" t="str">
            <v>REDE DE DISTRIBUIÇÃO</v>
          </cell>
          <cell r="E47" t="str">
            <v/>
          </cell>
          <cell r="F47">
            <v>0</v>
          </cell>
          <cell r="G47" t="str">
            <v/>
          </cell>
          <cell r="H47" t="str">
            <v/>
          </cell>
          <cell r="I47">
            <v>0</v>
          </cell>
          <cell r="J47">
            <v>0</v>
          </cell>
        </row>
        <row r="48">
          <cell r="A48" t="str">
            <v>4.1.3.1</v>
          </cell>
          <cell r="B48" t="str">
            <v>COMPS30066</v>
          </cell>
          <cell r="C48" t="str">
            <v>COMPOSIÇÃO</v>
          </cell>
          <cell r="D48" t="str">
            <v>FORNECIMENTO E INSTALAÇÃO DE ELETRODUTO CORRUGADO PEAD COR PRETA, ENTERRADO, φ3/4", FORNECIDO FORNECIMENTO E INSTALAÇÃO DE EM ROLOS DE 50m. REF.: TECHDUTO OU EQUIVALENTE TECNICO</v>
          </cell>
          <cell r="E48" t="str">
            <v>M</v>
          </cell>
          <cell r="F48">
            <v>250</v>
          </cell>
          <cell r="G48">
            <v>15.690000000000001</v>
          </cell>
          <cell r="H48">
            <v>19.61</v>
          </cell>
          <cell r="I48">
            <v>4902.5</v>
          </cell>
          <cell r="J48">
            <v>0.25</v>
          </cell>
        </row>
        <row r="49">
          <cell r="A49" t="str">
            <v>4.1.3.2</v>
          </cell>
          <cell r="B49" t="str">
            <v>COMPS30059</v>
          </cell>
          <cell r="C49" t="str">
            <v>COMPOSIÇÃO</v>
          </cell>
          <cell r="D49" t="str">
            <v>FORNECIMENTO E INSTALAÇÃO DE ELETRODUTO CORRUGADO PEAD COR PRETA, ENTERRADO, φ1", FORNECIDO EM ROLOS DE 50m. REF.: TECHDUTO OU EQUIVALENTE TECNICO</v>
          </cell>
          <cell r="E49" t="str">
            <v>M</v>
          </cell>
          <cell r="F49">
            <v>90</v>
          </cell>
          <cell r="G49">
            <v>17.170000000000002</v>
          </cell>
          <cell r="H49">
            <v>21.46</v>
          </cell>
          <cell r="I49">
            <v>1931.4</v>
          </cell>
          <cell r="J49">
            <v>0.25</v>
          </cell>
        </row>
        <row r="50">
          <cell r="A50" t="str">
            <v>4.1.3.3</v>
          </cell>
          <cell r="B50" t="str">
            <v>COMPS30067</v>
          </cell>
          <cell r="C50" t="str">
            <v>COMPOSIÇÃO</v>
          </cell>
          <cell r="D50" t="str">
            <v>FORNECIMENTO E INSTALAÇÃO DE ELETRODUTO CORRUGADO PEAD COR PRETA, ENTERRADO, φ1.1/2", FORNECIDO EM ROLOS DE 50m. REF.: TECHDUTO OU EQUIVALENTE TECNICO</v>
          </cell>
          <cell r="E50" t="str">
            <v>M</v>
          </cell>
          <cell r="F50">
            <v>35</v>
          </cell>
          <cell r="G50">
            <v>17.560000000000002</v>
          </cell>
          <cell r="H50">
            <v>21.95</v>
          </cell>
          <cell r="I50">
            <v>768.25</v>
          </cell>
          <cell r="J50">
            <v>0.25</v>
          </cell>
        </row>
        <row r="51">
          <cell r="A51" t="str">
            <v>4.1.3.4</v>
          </cell>
          <cell r="B51" t="str">
            <v>COMPS30068</v>
          </cell>
          <cell r="C51" t="str">
            <v>COMPOSIÇÃO</v>
          </cell>
          <cell r="D51" t="str">
            <v>FORNECIMENTO E INSTALAÇÃO DE ELETRODUTO FLEXÍVEL CORRUGADO REFORÇADO PVC Ø3/4", FORNECIDO EM ROLOS DE 50m REF.: TIGRE OU EQUIVALENTE TECNICO</v>
          </cell>
          <cell r="E51" t="str">
            <v>M</v>
          </cell>
          <cell r="F51">
            <v>725</v>
          </cell>
          <cell r="G51">
            <v>4.18</v>
          </cell>
          <cell r="H51">
            <v>5.23</v>
          </cell>
          <cell r="I51">
            <v>3791.75</v>
          </cell>
          <cell r="J51">
            <v>0.25</v>
          </cell>
        </row>
        <row r="52">
          <cell r="A52" t="str">
            <v>4.1.3.5</v>
          </cell>
          <cell r="B52" t="str">
            <v>COMPS30069</v>
          </cell>
          <cell r="C52" t="str">
            <v>COMPOSIÇÃO</v>
          </cell>
          <cell r="D52" t="str">
            <v>FORNECIMENTO E INSTALAÇÃO DE ELETRODUTO FLEXÍVEL CORRUGADO REFORÇADO PVC Ø1", FORNECIDO EM ROLOS DE 50m REF.: TIGRE OU EQUIVALENTE TECNICO</v>
          </cell>
          <cell r="E52" t="str">
            <v>M</v>
          </cell>
          <cell r="F52">
            <v>40</v>
          </cell>
          <cell r="G52">
            <v>5.92</v>
          </cell>
          <cell r="H52">
            <v>7.4</v>
          </cell>
          <cell r="I52">
            <v>296</v>
          </cell>
          <cell r="J52">
            <v>0.25</v>
          </cell>
        </row>
        <row r="53">
          <cell r="A53" t="str">
            <v>4.1.3.6</v>
          </cell>
          <cell r="B53">
            <v>72135</v>
          </cell>
          <cell r="C53" t="str">
            <v>SINAPI SERVIÇO</v>
          </cell>
          <cell r="D53" t="str">
            <v>ABERTURA/FECHAMENTO RASGO ALVENARIA PARA TUBOS, FECHAMENTO COM ARGAMAS   SA TRACO 1:1:6 (CIMENTO, CAL E AREIA)</v>
          </cell>
          <cell r="E53" t="str">
            <v>M</v>
          </cell>
          <cell r="F53">
            <v>236</v>
          </cell>
          <cell r="G53">
            <v>4.0199999999999996</v>
          </cell>
          <cell r="H53">
            <v>5.03</v>
          </cell>
          <cell r="I53">
            <v>1187.08</v>
          </cell>
          <cell r="J53">
            <v>0.25</v>
          </cell>
        </row>
        <row r="54">
          <cell r="A54" t="str">
            <v>4.1.3.7</v>
          </cell>
          <cell r="B54" t="str">
            <v>COMPS30016</v>
          </cell>
          <cell r="C54" t="str">
            <v>COMPOSIÇÃO</v>
          </cell>
          <cell r="D54" t="str">
            <v>FORNECIMENTO E INSTALAÇÃO DE CANALETAS EM TERMOPLÁSTICO AUTO-EXTINGUÍVEL SISTEMA X SEM DIVISÓRIAS, DIMENSÕES 20 x 10mm. FORNECIDO EM PEÇAS DE 2,10m. COR BRANCA REF.: 308 02 SISTEMA X DA PIAL LEGRAND OU EQUIVALENTE TECNICO</v>
          </cell>
          <cell r="E54" t="str">
            <v>PÇ</v>
          </cell>
          <cell r="F54">
            <v>18</v>
          </cell>
          <cell r="G54">
            <v>22.660000000000004</v>
          </cell>
          <cell r="H54">
            <v>28.33</v>
          </cell>
          <cell r="I54">
            <v>509.94</v>
          </cell>
          <cell r="J54">
            <v>0.25</v>
          </cell>
        </row>
        <row r="55">
          <cell r="A55" t="str">
            <v>4.1.3.8</v>
          </cell>
          <cell r="B55" t="str">
            <v>73860/007</v>
          </cell>
          <cell r="C55" t="str">
            <v>SINAPI SERVIÇO</v>
          </cell>
          <cell r="D55" t="str">
            <v>CABO DE COBRE ISOLADO PVC 450/750V 1,5MM2 RESISTENTE A CHAMA - FORNECI   MENTO E INSTALACAO</v>
          </cell>
          <cell r="E55" t="str">
            <v>M</v>
          </cell>
          <cell r="F55">
            <v>1270</v>
          </cell>
          <cell r="G55">
            <v>2.2200000000000002</v>
          </cell>
          <cell r="H55">
            <v>2.78</v>
          </cell>
          <cell r="I55">
            <v>3530.6</v>
          </cell>
          <cell r="J55">
            <v>0.25</v>
          </cell>
        </row>
        <row r="56">
          <cell r="A56" t="str">
            <v>4.1.3.9</v>
          </cell>
          <cell r="B56" t="str">
            <v>73860/008</v>
          </cell>
          <cell r="C56" t="str">
            <v>SINAPI SERVIÇO</v>
          </cell>
          <cell r="D56" t="str">
            <v>CABO DE COBRE ISOLADO PVC 450/750V 2,5MM2 RESISTENTE A CHAMA - FORNECI   MENTO E INSTALACAO</v>
          </cell>
          <cell r="E56" t="str">
            <v>M</v>
          </cell>
          <cell r="F56">
            <v>3780</v>
          </cell>
          <cell r="G56">
            <v>2.94</v>
          </cell>
          <cell r="H56">
            <v>3.68</v>
          </cell>
          <cell r="I56">
            <v>13910.4</v>
          </cell>
          <cell r="J56">
            <v>0.25</v>
          </cell>
        </row>
        <row r="57">
          <cell r="A57" t="str">
            <v>4.1.3.10</v>
          </cell>
          <cell r="B57" t="str">
            <v>73860/009</v>
          </cell>
          <cell r="C57" t="str">
            <v>SINAPI SERVIÇO</v>
          </cell>
          <cell r="D57" t="str">
            <v>CABO DE COBRE ISOLADO PVC 450/750V 4MM2 RESISTENTE A CHAMA - FORNECIME   NTO E INSTALACAO</v>
          </cell>
          <cell r="E57" t="str">
            <v>M</v>
          </cell>
          <cell r="F57">
            <v>1635</v>
          </cell>
          <cell r="G57">
            <v>4.3600000000000003</v>
          </cell>
          <cell r="H57">
            <v>5.45</v>
          </cell>
          <cell r="I57">
            <v>8910.75</v>
          </cell>
          <cell r="J57">
            <v>0.25</v>
          </cell>
        </row>
        <row r="58">
          <cell r="A58" t="str">
            <v>4.1.3.11</v>
          </cell>
          <cell r="B58">
            <v>83416</v>
          </cell>
          <cell r="C58" t="str">
            <v>SINAPI SERVIÇO</v>
          </cell>
          <cell r="D58" t="str">
            <v>CABO DE COBRE ISOLAMENTO TERMOPLASTICO 0,6/1KV 1,5MM2 ANTI-CHAMA - FOR   NECIMENTO E INSTALACAO</v>
          </cell>
          <cell r="E58" t="str">
            <v>M</v>
          </cell>
          <cell r="F58">
            <v>1070</v>
          </cell>
          <cell r="G58">
            <v>2.66</v>
          </cell>
          <cell r="H58">
            <v>3.33</v>
          </cell>
          <cell r="I58">
            <v>3563.1</v>
          </cell>
          <cell r="J58">
            <v>0.25</v>
          </cell>
        </row>
        <row r="59">
          <cell r="A59" t="str">
            <v>4.1.3.12</v>
          </cell>
          <cell r="B59">
            <v>83417</v>
          </cell>
          <cell r="C59" t="str">
            <v>SINAPI SERVIÇO</v>
          </cell>
          <cell r="D59" t="str">
            <v>CABO DE COBRE ISOLAMENTO TERMOPLASTICO 0,6/1KV 2,5MM2 ANTI-CHAMA - FOR   NECIMENTO E INSTALACAO</v>
          </cell>
          <cell r="E59" t="str">
            <v>M</v>
          </cell>
          <cell r="F59">
            <v>1067</v>
          </cell>
          <cell r="G59">
            <v>3.38</v>
          </cell>
          <cell r="H59">
            <v>4.2300000000000004</v>
          </cell>
          <cell r="I59">
            <v>4513.41</v>
          </cell>
          <cell r="J59">
            <v>0.25</v>
          </cell>
        </row>
        <row r="60">
          <cell r="A60" t="str">
            <v>4.1.3.13</v>
          </cell>
          <cell r="B60">
            <v>83418</v>
          </cell>
          <cell r="C60" t="str">
            <v>SINAPI SERVIÇO</v>
          </cell>
          <cell r="D60" t="str">
            <v>CABO DE COBRE ISOLAMENTO TERMOPLASTICO 0,6/1KV 4MM2 ANTI-CHAMA - FORNE   CIMENTO E INSTALACAO</v>
          </cell>
          <cell r="E60" t="str">
            <v>M</v>
          </cell>
          <cell r="F60">
            <v>240</v>
          </cell>
          <cell r="G60">
            <v>5.0199999999999996</v>
          </cell>
          <cell r="H60">
            <v>6.28</v>
          </cell>
          <cell r="I60">
            <v>1507.2</v>
          </cell>
          <cell r="J60">
            <v>0.25</v>
          </cell>
        </row>
        <row r="61">
          <cell r="A61" t="str">
            <v>4.1.3.14</v>
          </cell>
          <cell r="B61">
            <v>83419</v>
          </cell>
          <cell r="C61" t="str">
            <v>SINAPI SERVIÇO</v>
          </cell>
          <cell r="D61" t="str">
            <v>CABO DE COBRE ISOLAMENTO TERMOPLASTICO 0,6/1KV 6MM2 ANTI-CHAMA - FORNE   CIMENTO E INSTALACAO</v>
          </cell>
          <cell r="E61" t="str">
            <v>M</v>
          </cell>
          <cell r="F61">
            <v>440</v>
          </cell>
          <cell r="G61">
            <v>6.09</v>
          </cell>
          <cell r="H61">
            <v>7.61</v>
          </cell>
          <cell r="I61">
            <v>3348.4</v>
          </cell>
          <cell r="J61">
            <v>0.25</v>
          </cell>
        </row>
        <row r="62">
          <cell r="A62" t="str">
            <v>4.1.3.15</v>
          </cell>
          <cell r="B62" t="str">
            <v>21615/001</v>
          </cell>
          <cell r="C62" t="str">
            <v>SINAPI COHAB</v>
          </cell>
          <cell r="D62" t="str">
            <v>COLOCACAO E INSTALACAO DE INTERRUPTOR DE EMBUTIR 1 SECAO</v>
          </cell>
          <cell r="E62" t="str">
            <v>UN</v>
          </cell>
          <cell r="F62">
            <v>3</v>
          </cell>
          <cell r="G62">
            <v>15.21</v>
          </cell>
          <cell r="H62">
            <v>19.010000000000002</v>
          </cell>
          <cell r="I62">
            <v>57.03</v>
          </cell>
          <cell r="J62">
            <v>0.25</v>
          </cell>
        </row>
        <row r="63">
          <cell r="A63" t="str">
            <v>4.1.3.16</v>
          </cell>
          <cell r="B63">
            <v>72332</v>
          </cell>
          <cell r="C63" t="str">
            <v>SINAPI SERVIÇO</v>
          </cell>
          <cell r="D63" t="str">
            <v>INTERRUPTOR SIMPLES DE EMBUTIR 10A/250V 2 TECLAS, COM PLACA - FORNECIM   ENTO E INSTALACAO</v>
          </cell>
          <cell r="E63" t="str">
            <v>UN</v>
          </cell>
          <cell r="F63">
            <v>5</v>
          </cell>
          <cell r="G63">
            <v>20.39</v>
          </cell>
          <cell r="H63">
            <v>25.49</v>
          </cell>
          <cell r="I63">
            <v>127.45</v>
          </cell>
          <cell r="J63">
            <v>0.25</v>
          </cell>
        </row>
        <row r="64">
          <cell r="A64" t="str">
            <v>4.1.3.17</v>
          </cell>
          <cell r="B64">
            <v>83467</v>
          </cell>
          <cell r="C64" t="str">
            <v>SINAPI SERVIÇO</v>
          </cell>
          <cell r="D64" t="str">
            <v>INTERRUPTOR SIMPLES DE EMBUTIR 10A/250V 3 TECLAS, COM PLACA - FORNECIM   ENTO E INSTALACAO</v>
          </cell>
          <cell r="E64" t="str">
            <v>UN</v>
          </cell>
          <cell r="F64">
            <v>11</v>
          </cell>
          <cell r="G64">
            <v>31.1</v>
          </cell>
          <cell r="H64">
            <v>38.880000000000003</v>
          </cell>
          <cell r="I64">
            <v>427.68</v>
          </cell>
          <cell r="J64">
            <v>0.25</v>
          </cell>
        </row>
        <row r="65">
          <cell r="A65" t="str">
            <v>4.1.3.18</v>
          </cell>
          <cell r="B65" t="str">
            <v>COMPS30030</v>
          </cell>
          <cell r="C65" t="str">
            <v>COMPOSIÇÃO</v>
          </cell>
          <cell r="D65" t="str">
            <v>INTERRUPTOR PARALELO DE EMBUTIR 10A/250V 2 TECLAS, COM PLACA - FORNECIMENTO E INSTALACAO</v>
          </cell>
          <cell r="E65" t="str">
            <v>UN</v>
          </cell>
          <cell r="F65">
            <v>2</v>
          </cell>
          <cell r="G65">
            <v>25.130000000000003</v>
          </cell>
          <cell r="H65">
            <v>31.41</v>
          </cell>
          <cell r="I65">
            <v>62.82</v>
          </cell>
          <cell r="J65">
            <v>0.25</v>
          </cell>
        </row>
        <row r="66">
          <cell r="A66" t="str">
            <v>4.1.3.19</v>
          </cell>
          <cell r="B66">
            <v>83466</v>
          </cell>
          <cell r="C66" t="str">
            <v>SINAPI SERVIÇO</v>
          </cell>
          <cell r="D66" t="str">
            <v>INTERRUPTOR SIMPLES COM 1 TOMADA UNIVERSAL CONJUGADOS COM PLACA - FORN   ECIMENTO E INSTALACAO</v>
          </cell>
          <cell r="E66" t="str">
            <v>UN</v>
          </cell>
          <cell r="F66">
            <v>8</v>
          </cell>
          <cell r="G66">
            <v>23.48</v>
          </cell>
          <cell r="H66">
            <v>29.35</v>
          </cell>
          <cell r="I66">
            <v>234.8</v>
          </cell>
          <cell r="J66">
            <v>0.25</v>
          </cell>
        </row>
        <row r="67">
          <cell r="A67" t="str">
            <v>4.1.3.20</v>
          </cell>
          <cell r="B67" t="str">
            <v>COMPS30031</v>
          </cell>
          <cell r="C67" t="str">
            <v>COMPOSIÇÃO</v>
          </cell>
          <cell r="D67" t="str">
            <v>FORNECIMENTO E INSTALAÇÃO DE INTERRUPTOR UNIPOLAR DE 1 TECLA SIMPLES DE SOBREPOR, SISTEMA X REF.: 6750 00 WORKSTATION DA PIAL LEGRAND OU EQUIVALENTE TECNICO</v>
          </cell>
          <cell r="E67" t="str">
            <v>PÇ</v>
          </cell>
          <cell r="F67">
            <v>1</v>
          </cell>
          <cell r="G67">
            <v>12.299999999999999</v>
          </cell>
          <cell r="H67">
            <v>15.38</v>
          </cell>
          <cell r="I67">
            <v>15.38</v>
          </cell>
          <cell r="J67">
            <v>0.25</v>
          </cell>
        </row>
        <row r="68">
          <cell r="A68" t="str">
            <v>4.1.3.21</v>
          </cell>
          <cell r="B68" t="str">
            <v>COMPS30032</v>
          </cell>
          <cell r="C68" t="str">
            <v>COMPOSIÇÃO</v>
          </cell>
          <cell r="D68" t="str">
            <v>FORNECIMENTO E INSTALAÇÃO DE INTERRUPTOR UNIPOLAR DE 2 TECLAS SIMPLES DE SOBREPOR, SISTEMA X REF.: 6750 20 WORKSTATION DA PIAL LEGRAND OU EQUIVALENTE TECNICO</v>
          </cell>
          <cell r="E68" t="str">
            <v>PÇ</v>
          </cell>
          <cell r="F68">
            <v>6</v>
          </cell>
          <cell r="G68">
            <v>13.29</v>
          </cell>
          <cell r="H68">
            <v>16.61</v>
          </cell>
          <cell r="I68">
            <v>99.66</v>
          </cell>
          <cell r="J68">
            <v>0.25</v>
          </cell>
        </row>
        <row r="69">
          <cell r="A69" t="str">
            <v>4.1.3.22</v>
          </cell>
          <cell r="B69" t="str">
            <v>COMPS30033</v>
          </cell>
          <cell r="C69" t="str">
            <v>COMPOSIÇÃO</v>
          </cell>
          <cell r="D69" t="str">
            <v>FORNECIMENTO E INSTALAÇÃO DE TOMADA SIMPLES DE SOBREPOR 2P+T  - 10A-250V~ , SISTEMA X REF.: 6750 60 WORKSTATION DA PIAL LEGRAND OU EQUIVALENTE TECNICO</v>
          </cell>
          <cell r="E69" t="str">
            <v>PÇ</v>
          </cell>
          <cell r="F69">
            <v>1</v>
          </cell>
          <cell r="G69">
            <v>23.7</v>
          </cell>
          <cell r="H69">
            <v>29.63</v>
          </cell>
          <cell r="I69">
            <v>29.63</v>
          </cell>
          <cell r="J69">
            <v>0.25</v>
          </cell>
        </row>
        <row r="70">
          <cell r="A70" t="str">
            <v>4.1.3.23</v>
          </cell>
          <cell r="B70" t="str">
            <v>COMPS30034</v>
          </cell>
          <cell r="C70" t="str">
            <v>COMPOSIÇÃO</v>
          </cell>
          <cell r="D70" t="str">
            <v>FORNECIMENTO E INSTALAÇÃO DE TOMADA DUPLA DE SOBREPOR 2P+T  - 10A-250V~ , SISTEMA X REF.: 6750 62 WORKSTATION DA PIAL LEGRAND OU EQUIVALENTE TECNICO</v>
          </cell>
          <cell r="E70" t="str">
            <v>PÇ</v>
          </cell>
          <cell r="F70">
            <v>1</v>
          </cell>
          <cell r="G70">
            <v>25.34</v>
          </cell>
          <cell r="H70">
            <v>31.68</v>
          </cell>
          <cell r="I70">
            <v>31.68</v>
          </cell>
          <cell r="J70">
            <v>0.25</v>
          </cell>
        </row>
        <row r="71">
          <cell r="A71" t="str">
            <v>4.1.3.24</v>
          </cell>
          <cell r="B71">
            <v>83566</v>
          </cell>
          <cell r="C71" t="str">
            <v>SINAPI SERVIÇO</v>
          </cell>
          <cell r="D71" t="str">
            <v>TOMADA DE EMBUTIR 2P+T 20A/250V C/ PLACA - FORNECIMENTO E INSTALACAO</v>
          </cell>
          <cell r="E71" t="str">
            <v>UN</v>
          </cell>
          <cell r="F71">
            <v>17</v>
          </cell>
          <cell r="G71">
            <v>22.96</v>
          </cell>
          <cell r="H71">
            <v>28.7</v>
          </cell>
          <cell r="I71">
            <v>487.9</v>
          </cell>
          <cell r="J71">
            <v>0.25</v>
          </cell>
        </row>
        <row r="72">
          <cell r="A72" t="str">
            <v>4.1.3.25</v>
          </cell>
          <cell r="B72">
            <v>83555</v>
          </cell>
          <cell r="C72" t="str">
            <v>SINAPI SERVIÇO</v>
          </cell>
          <cell r="D72" t="str">
            <v>TOMADA DUPLA DE EMBUTIR 2X2P+T 10A/250V C/ PLACA - FORNECIMENTO E INST   ALACAO</v>
          </cell>
          <cell r="E72" t="str">
            <v>UN</v>
          </cell>
          <cell r="F72">
            <v>28</v>
          </cell>
          <cell r="G72">
            <v>22.84</v>
          </cell>
          <cell r="H72">
            <v>28.55</v>
          </cell>
          <cell r="I72">
            <v>799.4</v>
          </cell>
          <cell r="J72">
            <v>0.25</v>
          </cell>
        </row>
        <row r="73">
          <cell r="A73" t="str">
            <v>4.1.3.26</v>
          </cell>
          <cell r="B73" t="str">
            <v>COMPS30035</v>
          </cell>
          <cell r="C73" t="str">
            <v>COMPOSIÇÃO</v>
          </cell>
          <cell r="D73" t="str">
            <v>FORNECIMENTO E INSTALAÇÃO DE COLUNETE DLP DE ALTURA FIXA 0,68m. CORPO EM ALUMÍNIO, COM QUATRO FACES EQUIPÁVEIS, PARA SEPARAÇÃO DO CABEAMENTO DE ELÉTRICA E VDI, REF.: 307 42 WORKPLUS DA PIAL LEGRAND OU EQUIVALENTE TECNICO</v>
          </cell>
          <cell r="E73" t="str">
            <v>PÇ</v>
          </cell>
          <cell r="F73">
            <v>8</v>
          </cell>
          <cell r="G73">
            <v>546.77</v>
          </cell>
          <cell r="H73">
            <v>683.46</v>
          </cell>
          <cell r="I73">
            <v>5467.68</v>
          </cell>
          <cell r="J73">
            <v>0.25</v>
          </cell>
        </row>
        <row r="74">
          <cell r="A74" t="str">
            <v>4.1.3.27</v>
          </cell>
          <cell r="B74" t="str">
            <v>COMPS30036</v>
          </cell>
          <cell r="C74" t="str">
            <v>COMPOSIÇÃO</v>
          </cell>
          <cell r="D74" t="str">
            <v>FORNECIMENTO E INSTALAÇÃO DE SUPORTE PIALPLUS PARA COLUNETE REF.: 306 37 WORKPLUS DA PIAL LEGRAND OU EQUIVALENTE TECNICO</v>
          </cell>
          <cell r="E74" t="str">
            <v>PÇ</v>
          </cell>
          <cell r="F74">
            <v>16</v>
          </cell>
          <cell r="G74">
            <v>3.19</v>
          </cell>
          <cell r="H74">
            <v>3.99</v>
          </cell>
          <cell r="I74">
            <v>63.84</v>
          </cell>
          <cell r="J74">
            <v>0.25</v>
          </cell>
        </row>
        <row r="75">
          <cell r="A75" t="str">
            <v>4.1.3.28</v>
          </cell>
          <cell r="B75" t="str">
            <v>COMPS30037</v>
          </cell>
          <cell r="C75" t="str">
            <v>COMPOSIÇÃO</v>
          </cell>
          <cell r="D75" t="str">
            <v>FORNECIMENTO E INSTALAÇÃO DE PLACA PARA COLUNETE DLP, PARA MÓDULOS PIALPLUS, COM DOIS POSTOS REF.: 6487 31 WORKPLUS DA PIAL LEGRAND OU EQUIVALENTE TECNICO</v>
          </cell>
          <cell r="E75" t="str">
            <v>PÇ</v>
          </cell>
          <cell r="F75">
            <v>8</v>
          </cell>
          <cell r="G75">
            <v>5.3599999999999994</v>
          </cell>
          <cell r="H75">
            <v>6.7</v>
          </cell>
          <cell r="I75">
            <v>53.6</v>
          </cell>
          <cell r="J75">
            <v>0.25</v>
          </cell>
        </row>
        <row r="76">
          <cell r="A76" t="str">
            <v>4.1.3.29</v>
          </cell>
          <cell r="B76" t="str">
            <v>COMPS30038</v>
          </cell>
          <cell r="C76" t="str">
            <v>COMPOSIÇÃO</v>
          </cell>
          <cell r="D76" t="str">
            <v>FORNECIMENTO E INSTALAÇÃO DE MÓDULO DE TOMADA 2P+T 10A COM IDENTIFICADOR DE TENSÃO. COR BRANCA REF.: 6150 40 PIALPLUS DA PIAL LEGRAND OU EQUIVALENTE TECNICO</v>
          </cell>
          <cell r="E76" t="str">
            <v>PÇ</v>
          </cell>
          <cell r="F76">
            <v>24</v>
          </cell>
          <cell r="G76">
            <v>16.45</v>
          </cell>
          <cell r="H76">
            <v>20.56</v>
          </cell>
          <cell r="I76">
            <v>493.44</v>
          </cell>
          <cell r="J76">
            <v>0.25</v>
          </cell>
        </row>
        <row r="77">
          <cell r="A77" t="str">
            <v>4.1.3.30</v>
          </cell>
          <cell r="B77" t="str">
            <v>COMPS30039</v>
          </cell>
          <cell r="C77" t="str">
            <v>COMPOSIÇÃO</v>
          </cell>
          <cell r="D77" t="str">
            <v>FORNECIMENTO E INSTALAÇÃO DE CAIXA DE TOMADAS PARA ESCRITÓRIO DE MESA COM OITO POSTOS COMPATIVEIS COM PIALPLUS REF.: 535 90 WORKPLUS DA PIAL LEGRAND OU EQUIVALENTE TECNICO</v>
          </cell>
          <cell r="E77" t="str">
            <v>PÇ</v>
          </cell>
          <cell r="F77">
            <v>2</v>
          </cell>
          <cell r="G77">
            <v>282.13</v>
          </cell>
          <cell r="H77">
            <v>352.66</v>
          </cell>
          <cell r="I77">
            <v>705.32</v>
          </cell>
          <cell r="J77">
            <v>0.25</v>
          </cell>
        </row>
        <row r="78">
          <cell r="A78" t="str">
            <v>4.1.3.31</v>
          </cell>
          <cell r="B78" t="str">
            <v>COMPS30040</v>
          </cell>
          <cell r="C78" t="str">
            <v>COMPOSIÇÃO</v>
          </cell>
          <cell r="D78" t="str">
            <v>FORNECIMENTO E INSTALAÇÃO DE SUPORTE DE FIXAÇÃO PARA CAIXA DE TOMADAS PARA ESCRITÓRIO DE MESA REF.: 535 99 WORKPLUS DA PIAL LEGRAND OU EQUIVALENTE TECNICO</v>
          </cell>
          <cell r="E78" t="str">
            <v>PÇ</v>
          </cell>
          <cell r="F78">
            <v>2</v>
          </cell>
          <cell r="G78">
            <v>63.830000000000005</v>
          </cell>
          <cell r="H78">
            <v>79.790000000000006</v>
          </cell>
          <cell r="I78">
            <v>159.58000000000001</v>
          </cell>
          <cell r="J78">
            <v>0.25</v>
          </cell>
        </row>
        <row r="79">
          <cell r="A79" t="str">
            <v>4.1.3.32</v>
          </cell>
          <cell r="B79">
            <v>83399</v>
          </cell>
          <cell r="C79" t="str">
            <v>SINAPI SERVIÇO</v>
          </cell>
          <cell r="D79" t="str">
            <v>RELE FOTOELETRICO P/ COMANDO DE ILUMINACAO EXTERNA 220V/1000W - FORNEC   IMENTO E INSTALACAO</v>
          </cell>
          <cell r="E79" t="str">
            <v>UN</v>
          </cell>
          <cell r="F79">
            <v>9</v>
          </cell>
          <cell r="G79">
            <v>46.02</v>
          </cell>
          <cell r="H79">
            <v>57.53</v>
          </cell>
          <cell r="I79">
            <v>517.77</v>
          </cell>
          <cell r="J79">
            <v>0.25</v>
          </cell>
        </row>
        <row r="80">
          <cell r="A80" t="str">
            <v>4.1.3.33</v>
          </cell>
          <cell r="B80" t="str">
            <v>COMPS30057</v>
          </cell>
          <cell r="C80" t="str">
            <v>COMPOSIÇÃO</v>
          </cell>
          <cell r="D80" t="str">
            <v>FORNECIMENTO E INSTALAÇÃO DE TOMADA AQUATIC EMB 4X2 2P+T PB 10A/250V. REF.: AQUATIC DA PIAL LEGRAND OU EQUIVALENTE TECNICO</v>
          </cell>
          <cell r="E80" t="str">
            <v>UND</v>
          </cell>
          <cell r="F80">
            <v>4</v>
          </cell>
          <cell r="G80">
            <v>5.42</v>
          </cell>
          <cell r="H80">
            <v>6.78</v>
          </cell>
          <cell r="I80">
            <v>27.12</v>
          </cell>
          <cell r="J80">
            <v>0.25</v>
          </cell>
        </row>
        <row r="81">
          <cell r="A81">
            <v>0</v>
          </cell>
          <cell r="B81">
            <v>0</v>
          </cell>
          <cell r="C81">
            <v>0</v>
          </cell>
          <cell r="D81" t="str">
            <v/>
          </cell>
          <cell r="E81" t="str">
            <v/>
          </cell>
          <cell r="F81">
            <v>0</v>
          </cell>
          <cell r="G81" t="str">
            <v/>
          </cell>
          <cell r="H81" t="str">
            <v/>
          </cell>
          <cell r="I81">
            <v>0</v>
          </cell>
          <cell r="J81">
            <v>0</v>
          </cell>
        </row>
        <row r="82">
          <cell r="A82" t="str">
            <v>4.1.4</v>
          </cell>
          <cell r="B82">
            <v>0</v>
          </cell>
          <cell r="C82">
            <v>0</v>
          </cell>
          <cell r="D82" t="str">
            <v>QUADROS</v>
          </cell>
          <cell r="E82" t="str">
            <v/>
          </cell>
          <cell r="F82">
            <v>0</v>
          </cell>
          <cell r="G82" t="str">
            <v/>
          </cell>
          <cell r="H82" t="str">
            <v/>
          </cell>
          <cell r="I82">
            <v>0</v>
          </cell>
          <cell r="J82">
            <v>0</v>
          </cell>
        </row>
        <row r="83">
          <cell r="A83" t="str">
            <v>4.1.4.1</v>
          </cell>
          <cell r="B83" t="str">
            <v>COMPS30041</v>
          </cell>
          <cell r="C83" t="str">
            <v>COMPOSIÇÃO</v>
          </cell>
          <cell r="D83" t="str">
            <v>QDLF-1: FORNECIMENTO E INSTALAÇÃO DE QUADRO DE DISTRIBUIÇÃO PARCIAL,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8(OITO) DISJUNTORES UNIPOLARES, CORRENTE NOMINAL 10A, TERMOMAGNÉTICO PADRÃO EUROPEU, TENSÃO DE OPERAÇÃO 220Vca, CAPACIDADE DE INTERRUPÇÃO 10kA/220Vca/60Hz, CURVA CARACTERÍSTICA DE DISPARO "C". FIXAÇÃO TIPO ENGATE RÁPIDO SOBRE TRILHO DE 35mm REF: C60N DA SCHNEIDER ELECTRIC OU EQUIVALENTE TÉCNICO; 4(QUATRO) DISJUNTORES UNIPOLARES, CORRENTE NOMINAL 16A, TERMOMAGNÉTICO PADRÃO EUROPEU, TENSÃO DE OPERAÇÃO 220Vca, CAPACIDADE DE INTERRUPÇÃO 10kA/220Vca/60Hz, CURVA CARACTERÍSTICA DE DISPARO "C". FIXAÇÃO TIPO ENGATE RÁPIDO SOBRE TRILHO DE 35mm REF: C60N DA SCHNEIDER ELECTRIC OU EQUIVALENTE TÉCNICO; 3(TRÊS) DISJUNTORES UNIPOLARES, CORRENTE NOMINAL 20A, TERMOMAGNÉTICO PADRÃO EUROPEU, TENSÃO DE OPERAÇÃO 220Vca, CAPACIDADE DE INTERRUPÇÃO 10kA/220Vca/60Hz, CURVA CARACTERÍSTICA DE DISPARO "C". FIXAÇÃO TIPO ENGATE RÁPIDO SOBRE TRILHO DE 35mm REF: C60N DA SCHNEIDER ELECTRIC OU EQUIVALENTE TÉCNICO; 4(QUATRO) DISPOSITIVOS DE PROTEÇÃO CONTRA SURTOS (DPS), CLASSE III, VERSÃO EXTRAÍVEL (PLUG-IN), TENSÃO NOMINAL 230V, CAPACIDADE DE INTERRUPÇÃO 8kA, 230Vca/60Hz. FIXAÇÃO TIPO ENGATE RÁPIDO SOBRE TRILHO DE 35mm REF.: PRD8 - CLASSE III DA SCHNEIDER ELECTRIC OU EQUIVALENTE TÉCNICO; 1 (UM) BLOCO DIFERENCIAL RESIDUAL (DDR), CLASSE AC, 4 POLOS, CORRENTE NOMINAL 25A, TENSÃO DE OPERAÇÃO 230V, CAPACIDADE DE INTERRUPÇÃO 10kA, SENSIBILIDADE DE FUGA A TERRA 300mA REF.: VIGI C60 DA SCHINEIDER ELECTRIC OU EQUIVALENTE TÉCNICO; 1 (UM) DISJUNTOR TRIPOLAR, CORRENTE NOMINAL 20A, TERMOMAGNÉTICO PADRÃO EUROPEU, TENSÃO DE OPERAÇÃO 220Vca, CAPACIDADE DE INTERRUPÇÃO 10kA/220Vca/60Hz, CURVA CARACTERÍSTICA DE DISPARO "C". FIXAÇÃO TIPO ENGATE RÁPIDO SOBRE TRILHO DE 35mm REF: C60N DA SCHNEIDER ELECTRIC OU EQUIVALENTE TÉCNICO; 1 (UM) BLOCO DIFERENCIAL RESIDUAIL(DDR), CLASSE AC, 2 POLOS, CORRENTE NOMINAL 10A, TENSÃO DE OPERAÇÃO 230V, CAPACIDADE DE INTERRUPÇÃO 10kA, SENSIBILIDADE DE FUGA A TERRA 30mA REF.: VIGI C60 DA SCHINEIDER ELECTRIC OU EQUIVALENTE TÉCNICO.</v>
          </cell>
          <cell r="E83" t="str">
            <v>UND</v>
          </cell>
          <cell r="F83">
            <v>1</v>
          </cell>
          <cell r="G83">
            <v>2124.4499999999998</v>
          </cell>
          <cell r="H83">
            <v>2655.56</v>
          </cell>
          <cell r="I83">
            <v>2655.56</v>
          </cell>
          <cell r="J83">
            <v>0.25</v>
          </cell>
        </row>
        <row r="84">
          <cell r="A84" t="str">
            <v>4.1.4.2</v>
          </cell>
          <cell r="B84" t="str">
            <v>COMPS30042</v>
          </cell>
          <cell r="C84" t="str">
            <v>COMPOSIÇÃO</v>
          </cell>
          <cell r="D84" t="str">
            <v>QDLF-2: FORNECIMENTO E INSTALAÇÃO DE QUADRO DE DISTRIBUIÇÃO PARCIAL,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12(DOZE) DISJUNTORES UNIPOLARES, CORRENTE NOMINAL 10A, TERMOMAGNÉTICO PADRÃO EUROPEU, TENSÃO DE OPERAÇÃO 220Vca, CAPACIDADE DE INTERRUPÇÃO 10kA/220Vca/60Hz, CURVA CARACTERÍSTICA DE DISPARO "C". FIXAÇÃO TIPO ENGATE RÁPIDO SOBRE TRILHO DE 35mm REF: C60N DA SCHNEIDER ELECTRIC OU EQUIVALENTE TÉCNICO; 5(CINCO) DISJUNTORES UNIPOLARES, CORRENTE NOMINAL 16A, TERMOMAGNÉTICO PADRÃO EUROPEU, TENSÃO DE OPERAÇÃO 220Vca, CAPACIDADE DE INTERRUPÇÃO 10kA/220Vca/60Hz, CURVA CARACTERÍSTICA DE DISPARO "C". FIXAÇÃO TIPO ENGATE RÁPIDO SOBRE TRILHO DE 35mm REF: C60N DA SCHNEIDER ELECTRIC OU EQUIVALENTE TÉCNICO; 5(CINCO) DISJUNTORES UNIPOLARES, CORRENTE NOMINAL 20A, TERMOMAGNÉTICO PADRÃO EUROPEU, TENSÃO DE OPERAÇÃO 220Vca, CAPACIDADE DE INTERRUPÇÃO 10kA/220Vca/60Hz, CURVA CARACTERÍSTICA DE DISPARO "C". FIXAÇÃO TIPO ENGATE RÁPIDO SOBRE TRILHO DE 35mm REF: C60N DA SCHNEIDER ELECTRIC OU EQUIVALENTE TÉCNICO; 4(QUATRO) DISPOSITIVOS DE PROTEÇÃO CONTRA SURTOS (DPS), CLASSE III, VERSÃO EXTRAÍVEL (PLUG-IN), TENSÃO NOMINAL 230V, CAPACIDADE DE INTERRUPÇÃO 8kA, 230Vca/60Hz. FIXAÇÃO TIPO ENGATE RÁPIDO SOBRE TRILHO DE 35mm REF.: PRD8 - CLASSE III DA SCHNEIDER ELECTRIC OU EQUIVALENTE TÉCNICO; 1 (UM) BLOCO DIFERENCIAL RESIDUAL (DDR), CLASSE AC, 4 POLOS, CORRENTE NOMINAL 63A, TENSÃO DE OPERAÇÃO 230V, CAPACIDADE DE INTERRUPÇÃO 10kA, SENSIBILIDADE DE FUGA A TERRA 300mA REF.: VIGI C60 DA SCHINEIDER ELECTRIC OU EQUIVALENTE TÉCNICO; 1 (UM) DISJUNTOR TRIPOLAR, CORRENTE NOMINAL 63A, TERMOMAGNÉTICO PADRÃO EUROPEU, TENSÃO DE OPERAÇÃO 220Vca, CAPACIDADE DE INTERRUPÇÃO 10kA/220Vca/60Hz, CURVA CARACTERÍSTICA DE DISPARO "C". FIXAÇÃO TIPO ENGATE RÁPIDO SOBRE TRILHO DE 35mm REF: C60N DA SCHNEIDER ELECTRIC OU EQUIVALENTE TÉCNICO.</v>
          </cell>
          <cell r="E84" t="str">
            <v>UND</v>
          </cell>
          <cell r="F84">
            <v>1</v>
          </cell>
          <cell r="G84">
            <v>2601.96</v>
          </cell>
          <cell r="H84">
            <v>3252.45</v>
          </cell>
          <cell r="I84">
            <v>3252.45</v>
          </cell>
          <cell r="J84">
            <v>0.25</v>
          </cell>
        </row>
        <row r="85">
          <cell r="A85" t="str">
            <v>4.1.4.3</v>
          </cell>
          <cell r="B85" t="str">
            <v>COMPS30070</v>
          </cell>
          <cell r="C85" t="str">
            <v>COMPOSIÇÃO</v>
          </cell>
          <cell r="D85" t="str">
            <v>QDLF-3: FORNECIMENTO E INSTALAÇÃO DE QUADRO DE DISTRIBUIÇÃO PARCIAL,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21(VINTE E UM) DISJUNTORES UNIPOLARES, CORRENTE NOMINAL 10A, TERMOMAGNÉTICO PADRÃO EUROPEU, TENSÃO DE OPERAÇÃO 220Vca, CAPACIDADE DE INTERRUPÇÃO 10kA/220Vca/60Hz, CURVA CARACTERÍSTICA DE DISPARO "C". FIXAÇÃO TIPO ENGATE RÁPIDO SOBRE TRILHO DE 35mm REF: C60N DA SCHNEIDER ELECTRIC OU EQUIVALENTE TÉCNICO; 3(TRÊS) DISJUNTORES UNIPOLARES, CORRENTE NOMINAL 20A, TERMOMAGNÉTICO PADRÃO EUROPEU, TENSÃO DE OPERAÇÃO 220Vca, CAPACIDADE DE INTERRUPÇÃO 10kA/220Vca/60Hz, CURVA CARACTERÍSTICA DE DISPARO "C". FIXAÇÃO TIPO ENGATE RÁPIDO SOBRE TRILHO DE 35mm REF: C60N DA SCHNEIDER ELECTRIC OU EQUIVALENTE TÉCNICO; 1(UM) DISJUNTOR UNIPOLAR, CORRENTE NOMINAL 30A, TERMOMAGNÉTICO PADRÃO EUROPEU, TENSÃO DE OPERAÇÃO 220Vca, CAPACIDADE DE INTERRUPÇÃO 10kA/220Vca/60Hz, CURVA CARACTERÍSTICA DE DISPARO "C". FIXAÇÃO TIPO ENGATE RÁPIDO SOBRE TRILHO DE 35mm REF: C60N DA SCHNEIDER ELECTRIC OU EQUIVALENTE TÉCNICO; 4(QUATRO) DISPOSITIVOS DE PROTEÇÃO CONTRA SURTOS (DPS), CLASSE III, VERSÃO EXTRAÍVEL (PLUG-IN), TENSÃO NOMINAL 230V, CAPACIDADE DE INTERRUPÇÃO 8kA, 230Vca/60Hz. FIXAÇÃO TIPO ENGATE RÁPIDO SOBRE TRILHO DE 35mm REF.: PRD8 - CLASSE III DA SCHNEIDER ELECTRIC OU EQUIVALENTE TÉCNICO; 1 (UM) DISJUNTOR DIFERENCIAL RESIDUAL (DDR), CLASSE AC, 4 POLOS, CORRENTE NOMINAL 63A, TENSÃO DE OPERAÇÃO 230V, CAPACIDADE DE INTERRUPÇÃO 10kA, SENSIBILIDADE DE FUGA A TERRA 300mA REF.: ID-RCCB DA SCHINEIDER ELECTRIC OU EQUIVALENTE TÉCNICO; 1(UM) DISJUNTOR TRIPOLAR, CORRENTE NOMINAL 40A, TERMOMAGNÉTICO PADRÃO EUROPEU, TENSÃO DE OPERAÇÃO 220Vca, CAPACIDADE DE INTERRUPÇÃO 10kA/220Vca/60Hz, CURVA CARACTERÍSTICA DE DISPARO "C". FIXAÇÃO TIPO ENGATE RÁPIDO SOBRE TRILHO DE 35mm REF: C60N DA SCHNEIDER ELECTRIC OU EQUIVALENTE TÉCNICO; 7 (SETE) BLOCOS DIFERENCIAIS RESIDUAIS(DDR), CLASSE AC, 2 POLOS, CORRENTE NOMINAL 10A, TENSÃO DE OPERAÇÃO 230V, CAPACIDADE DE INTERRUPÇÃO 10kA, SENSIBILIDADE DE FUGA A TERRA 30mA REF.: VIGI C60 DA SCHINEIDER ELECTRIC OU EQUIVALENTE TÉCNICO; 1 (UM) BLOCO DIFERENCIAL RESIDUAL (DDR), CLASSE AC, 2 POLOS, CORRENTE NOMINAL 30A, TENSÃO DE OPERAÇÃO 230V, CAPACIDADE DE INTERRUPÇÃO 10kA, SENSIBILIDADE DE FUGA A TERRA 30mA REF.: VIGI C60 DA SCHINEIDER ELECTRIC OU EQUIVALENTE TÉCNICO.</v>
          </cell>
          <cell r="E85" t="str">
            <v>UND</v>
          </cell>
          <cell r="F85">
            <v>1</v>
          </cell>
          <cell r="G85">
            <v>1573.0400000000002</v>
          </cell>
          <cell r="H85">
            <v>1966.3</v>
          </cell>
          <cell r="I85">
            <v>1966.3</v>
          </cell>
          <cell r="J85">
            <v>0.25</v>
          </cell>
        </row>
        <row r="86">
          <cell r="A86" t="str">
            <v>4.1.4.4</v>
          </cell>
          <cell r="B86" t="str">
            <v>COMPS30044</v>
          </cell>
          <cell r="C86" t="str">
            <v>COMPOSIÇÃO</v>
          </cell>
          <cell r="D86" t="str">
            <v>QGBT: FORNECIMENTO E INSTALAÇÃO DE QUADRO DE DISTRIBUIÇÃO GERAL,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1(UM) DISJUNTOR TRIPOLAR DE CAIXA MOLDADA, CORRENTE NOMINAL 125A, TERMOMAGNÉTICO PADRÃO EUROPEU, TENSÃO DE OPERAÇÃO 220Vca, CAPACIDADE DE INTERRUPÇÃO 40kA/220Vca/60Hz, CURVA CARACTERÍSTICA DE DISPARO "C". FIXAÇÃO TIPO ENGATE RÁPIDO SOBRE TRILHO DE 35mm REF:COMPACT NS DA SCHNEIDER ELECTRIC OU EQUIVALENTE TÉCNICO; 1 (UM) DISJUNTOR TRIPOLAR, CORRENTE NOMINAL 20A, TERMOMAGNÉTICO PADRÃO EUROPEU, TENSÃO DE OPERAÇÃO 220Vca, CAPACIDADE DE INTERRUPÇÃO 10kA/220Vca/60Hz, CURVA CARACTERÍSTICA DE DISPARO "C". FIXAÇÃO TIPO ENGATE RÁPIDO SOBRE TRILHO DE 35mm REF: C60N DA SCHNEIDER ELECTRIC OU EQUIVALENTE TÉCNICO; 1 (UM) DISJUNTOR TRIPOLAR, CORRENTE NOMINAL 40A, TERMOMAGNÉTICO PADRÃO EUROPEU, TENSÃO DE OPERAÇÃO 220Vca, CAPACIDADE DE INTERRUPÇÃO 10kA/220Vca/60Hz, CURVA CARACTERÍSTICA DE DISPARO "C". FIXAÇÃO TIPO ENGATE RÁPIDO SOBRE TRILHO DE 35mm REF: C60N DA SCHNEIDER ELECTRIC OU EQUIVALENTE TÉCNICO; 1 (UM) DISJUNTOR TRIPOLAR, CORRENTE NOMINAL 63A, TERMOMAGNÉTICO PADRÃO EUROPEU, TENSÃO DE OPERAÇÃO 220Vca, CAPACIDADE DE INTERRUPÇÃO 10kA/220Vca/60Hz, CURVA CARACTERÍSTICA DE DISPARO "C". FIXAÇÃO TIPO ENGATE RÁPIDO SOBRE TRILHO DE 35mm REF: C60N DA SCHNEIDER ELECTRIC OU EQUIVALENTE TÉCNICO.</v>
          </cell>
          <cell r="E86" t="str">
            <v>UND</v>
          </cell>
          <cell r="F86">
            <v>1</v>
          </cell>
          <cell r="G86">
            <v>3940.59</v>
          </cell>
          <cell r="H86">
            <v>4925.74</v>
          </cell>
          <cell r="I86">
            <v>4925.74</v>
          </cell>
          <cell r="J86">
            <v>0.25</v>
          </cell>
        </row>
        <row r="87">
          <cell r="A87" t="str">
            <v>4.1.4.5</v>
          </cell>
          <cell r="B87" t="str">
            <v>COMPS30056</v>
          </cell>
          <cell r="C87" t="str">
            <v>COMPOSIÇÃO</v>
          </cell>
          <cell r="D87" t="str">
            <v>FORNECIMENTO E INSTALAÇÃO DE QUADRO DE COMANDO ELEVADOR: QUADRO DE COMANDO, PARA INSTALAÇÃO DE SOBREPOR, COMPOSTO DE CAIXA CONSTRUÍDA EM CHAPA DE AÇO TRATADA A BASE DE FOSFATO DE FERRO E PINTURA A PÓ, CHASSI INTERNO COM CONTRA-ESPELHO E PORTA, BARRAMENTO TRIFÁSICO, NEUTRO E TERRA EM COBRE ELETROLÍTICO, E ACABAMENTO COM PINTURA ELETROSTÁTICA EM EPÓXI NA COR BEGE - RAL 7032, GRAU DE PROTEÇÃO IP 54 CONFORME NBR 6146, E EQUIPADO CONFORME RESPECTIVO DIAGRAMA UNIFILAR DO EQUIPAMENTO, DE FABRICAÇÃO 902126 CEMAR OU EQUIVALENTE TÉCNICO:1-1 (UM) DISJUNTOR TRIPOLAR, CORRENTE NOMINAL 10A, TERMOMAGNÉTICO PADRÃO EUROPEU, TENSÃO DE OPERAÇÃO 220Vca, CAPACIDADE DE INTERRUPÇÃO 10kA/220Vca/60Hz, CURVA CARACTERÍSTICA DE DISPARO "C". FIXAÇÃO TIPO ENGATE RÁPIDO SOBRE TRILHO DE 35mm. REF: C60N DA SCHNEIDER ELECTRIC OU EQUIVALENTE TECNICO;2- 1(UM) DISJUNTOR UNIPOLAR, CORRENTE NOMINAL 10A, TERMOMAGNÉTICO PADRÃO EUROPEU, TENSÃO DE OPERAÇÃO 220Vca, CAPACIDADE DE INTERRUPÇÃO 10kA/220Vca/60Hz, CURVA CARACTERÍSTICA DE DISPARO "C". FIXAÇÃO TIPO ENGATE RÁPIDO SOBRE TRILHO DE 35mm. REF: C60N DA SCHNEIDER ELECTRIC OU EQUIVALENTE TECNICO;3-1 (UM) BLOCO DIFERENCIAL RESIDUAL (DDR), CLASSE AC, 4 POLOS, CORRENTE NOMINAL 25A, TENSÃO DE OPERAÇÃO 230V, CAPACIDADE DE INTERRUPÇÃO 10kA, SENSIBILIDADE DE FUGA A TERRA 300mA. REF.: VIGI C60 DA SCHINEIDER ELECTRIC OU EQUIVALENTE TECNICO.</v>
          </cell>
          <cell r="E87" t="str">
            <v>UND</v>
          </cell>
          <cell r="F87">
            <v>1</v>
          </cell>
          <cell r="G87">
            <v>598.29999999999995</v>
          </cell>
          <cell r="H87">
            <v>747.88</v>
          </cell>
          <cell r="I87">
            <v>747.88</v>
          </cell>
          <cell r="J87">
            <v>0.25</v>
          </cell>
        </row>
        <row r="88">
          <cell r="A88">
            <v>0</v>
          </cell>
          <cell r="B88">
            <v>0</v>
          </cell>
          <cell r="C88">
            <v>0</v>
          </cell>
          <cell r="D88" t="str">
            <v/>
          </cell>
          <cell r="E88" t="str">
            <v/>
          </cell>
          <cell r="F88">
            <v>0</v>
          </cell>
          <cell r="G88" t="str">
            <v/>
          </cell>
          <cell r="H88" t="str">
            <v/>
          </cell>
          <cell r="I88">
            <v>0</v>
          </cell>
          <cell r="J88">
            <v>0</v>
          </cell>
        </row>
        <row r="89">
          <cell r="A89" t="str">
            <v>4.2</v>
          </cell>
          <cell r="B89">
            <v>0</v>
          </cell>
          <cell r="C89">
            <v>0</v>
          </cell>
          <cell r="D89" t="str">
            <v>LUMINOTÉCNICO</v>
          </cell>
          <cell r="E89" t="str">
            <v/>
          </cell>
          <cell r="F89">
            <v>0</v>
          </cell>
          <cell r="G89" t="str">
            <v/>
          </cell>
          <cell r="H89" t="str">
            <v/>
          </cell>
          <cell r="I89">
            <v>0</v>
          </cell>
          <cell r="J89">
            <v>0</v>
          </cell>
        </row>
        <row r="90">
          <cell r="A90">
            <v>0</v>
          </cell>
          <cell r="B90">
            <v>0</v>
          </cell>
          <cell r="C90">
            <v>0</v>
          </cell>
          <cell r="D90" t="str">
            <v/>
          </cell>
          <cell r="E90" t="str">
            <v/>
          </cell>
          <cell r="F90">
            <v>0</v>
          </cell>
          <cell r="G90" t="str">
            <v/>
          </cell>
          <cell r="H90" t="str">
            <v/>
          </cell>
          <cell r="I90">
            <v>0</v>
          </cell>
          <cell r="J90">
            <v>0</v>
          </cell>
        </row>
        <row r="91">
          <cell r="A91" t="str">
            <v>4.2.1</v>
          </cell>
          <cell r="B91">
            <v>0</v>
          </cell>
          <cell r="C91">
            <v>0</v>
          </cell>
          <cell r="D91" t="str">
            <v>LUMINÁRIAS INTERNAS</v>
          </cell>
          <cell r="E91" t="str">
            <v/>
          </cell>
          <cell r="F91">
            <v>0</v>
          </cell>
          <cell r="G91" t="str">
            <v/>
          </cell>
          <cell r="H91" t="str">
            <v/>
          </cell>
          <cell r="I91">
            <v>0</v>
          </cell>
          <cell r="J91">
            <v>0</v>
          </cell>
        </row>
        <row r="92">
          <cell r="A92" t="str">
            <v>4.2.1.1</v>
          </cell>
          <cell r="B92" t="str">
            <v>COMPS9001</v>
          </cell>
          <cell r="C92" t="str">
            <v>COMPOSIÇÃO</v>
          </cell>
          <cell r="D92" t="str">
            <v>FORNECIMENTO E INSTALAÇÃO DE LUMINÁRIA TIPO PENDENTE DE LUZ DIFUSA COM SISTEMA DE LED RGB (INCLUSO)  - MODELO MAMMA MIA COD. 5326 FABRICANTE ILUMINAR OU EQUIVALENTE TECNICO</v>
          </cell>
          <cell r="E92" t="str">
            <v>UND</v>
          </cell>
          <cell r="F92">
            <v>2</v>
          </cell>
          <cell r="G92">
            <v>5257.25</v>
          </cell>
          <cell r="H92">
            <v>6571.56</v>
          </cell>
          <cell r="I92">
            <v>13143.12</v>
          </cell>
          <cell r="J92">
            <v>0.25</v>
          </cell>
        </row>
        <row r="93">
          <cell r="A93" t="str">
            <v>4.2.1.2</v>
          </cell>
          <cell r="B93" t="str">
            <v>COMPS9002</v>
          </cell>
          <cell r="C93" t="str">
            <v>COMPOSIÇÃO</v>
          </cell>
          <cell r="D93" t="str">
            <v>FORNECIMENTO E INSTALAÇÃO DE LUMINÁRIA TIPO PLAFON DE EMBUTIR EM ALUMINIO COM LED DE 12W E DRIVER BIVOLT (INCLUSO), NAS DIMENSÕES Ø=180MM E H=14MM NA COR BRANCA - MODELO SLIM COD. SLED 8040, FABRICANTE MISTER LED OU EQUIVALENTE TECNICO</v>
          </cell>
          <cell r="E93" t="str">
            <v>UND</v>
          </cell>
          <cell r="F93">
            <v>2</v>
          </cell>
          <cell r="G93">
            <v>99.06</v>
          </cell>
          <cell r="H93">
            <v>123.83</v>
          </cell>
          <cell r="I93">
            <v>247.66</v>
          </cell>
          <cell r="J93">
            <v>0.25</v>
          </cell>
        </row>
        <row r="94">
          <cell r="A94" t="str">
            <v>4.2.1.3</v>
          </cell>
          <cell r="B94" t="str">
            <v>COMPS9003</v>
          </cell>
          <cell r="C94" t="str">
            <v>COMPOSIÇÃO</v>
          </cell>
          <cell r="D94" t="str">
            <v>FORNECIMENTO E INSTALAÇÃO DE LUMINÁRIA QUADRADA DE SOBREPOR, PARA 2 LÂMPADAS FLUORESCENTES COMPACTAS ELETRÔNICA, EM PINTURA ELETROSTÁTICA EPÓXI-PÓ NA COR BRANCA E DIFUSOR EM VIDRO PLANO TEMPERADO JATEADO - MODELO PLATINA COD. 8030.2A1.340, FABRICANTE ITAIM OU EQUIVALENTE TECNICO</v>
          </cell>
          <cell r="E94" t="str">
            <v>UND</v>
          </cell>
          <cell r="F94">
            <v>30</v>
          </cell>
          <cell r="G94">
            <v>101.96</v>
          </cell>
          <cell r="H94">
            <v>127.45</v>
          </cell>
          <cell r="I94">
            <v>3823.5</v>
          </cell>
          <cell r="J94">
            <v>0.25</v>
          </cell>
        </row>
        <row r="95">
          <cell r="A95" t="str">
            <v>4.2.1.4</v>
          </cell>
          <cell r="B95" t="str">
            <v>COMPS9004</v>
          </cell>
          <cell r="C95" t="str">
            <v>COMPOSIÇÃO</v>
          </cell>
          <cell r="D95" t="str">
            <v>FORNECIMENTO E INSTALAÇÃO DE TRILHO ELETRIFICADO DE 1 METRO EM ALUMINIO EXTRUDADO COM ACENDIMENTO EM 3 CIRCUITOS INDEPENDENTES NA COR BRANCA - MODELO ALTRAC PRO COD. TRA00034 FABRICANTE ALTENA OU EQUIVALENTE TECNICO</v>
          </cell>
          <cell r="E95" t="str">
            <v>UND</v>
          </cell>
          <cell r="F95">
            <v>1</v>
          </cell>
          <cell r="G95">
            <v>338</v>
          </cell>
          <cell r="H95">
            <v>422.5</v>
          </cell>
          <cell r="I95">
            <v>422.5</v>
          </cell>
          <cell r="J95">
            <v>0.25</v>
          </cell>
        </row>
        <row r="96">
          <cell r="A96" t="str">
            <v>4.2.1.5</v>
          </cell>
          <cell r="B96" t="str">
            <v>COMPS9005</v>
          </cell>
          <cell r="C96" t="str">
            <v>COMPOSIÇÃO</v>
          </cell>
          <cell r="D96" t="str">
            <v>FORNECIMENTO E INSTALAÇÃO DE TRILHO ELETRIFICADO DE 3 METROS EM ALUMINIO EXTRUDADO COM ACENDIMENTO EM 3 CIRCUITOS INDEPENDENTES NA COR BRANCA  - MODELO ALTRAC PRO COD. TRA00036 FABRICANTE ALTENA OU EQUIVALENTE TECNICO</v>
          </cell>
          <cell r="E96" t="str">
            <v>UND</v>
          </cell>
          <cell r="F96">
            <v>11</v>
          </cell>
          <cell r="G96">
            <v>815.06</v>
          </cell>
          <cell r="H96">
            <v>1018.83</v>
          </cell>
          <cell r="I96">
            <v>11207.13</v>
          </cell>
          <cell r="J96">
            <v>0.25</v>
          </cell>
        </row>
        <row r="97">
          <cell r="A97" t="str">
            <v>4.2.1.6</v>
          </cell>
          <cell r="B97" t="str">
            <v>COMPS9006</v>
          </cell>
          <cell r="C97" t="str">
            <v>COMPOSIÇÃO</v>
          </cell>
          <cell r="D97" t="str">
            <v>FORNECIMENTO E INSTALAÇÃO DE LUMINÁRIA TIPO SPOT ORIENTÁVEL PARA 1 LÂMPADA HALÓGENA PAR 30, EM ALUMINIO EXTRUDADO NA COR BRANCA - MODELO THOR COD. PRO10127 FABRICANTE ALTENA OU EQUIVALENTE TÉCNICO</v>
          </cell>
          <cell r="E97" t="str">
            <v>UND</v>
          </cell>
          <cell r="F97">
            <v>45</v>
          </cell>
          <cell r="G97">
            <v>113.50999999999999</v>
          </cell>
          <cell r="H97">
            <v>141.88999999999999</v>
          </cell>
          <cell r="I97">
            <v>6385.05</v>
          </cell>
          <cell r="J97">
            <v>0.25</v>
          </cell>
        </row>
        <row r="98">
          <cell r="A98" t="str">
            <v>4.2.1.7</v>
          </cell>
          <cell r="B98" t="str">
            <v>COMPS9007</v>
          </cell>
          <cell r="C98" t="str">
            <v>COMPOSIÇÃO</v>
          </cell>
          <cell r="D98" t="str">
            <v>FORNECIMENTO E INSTALAÇÃO DE LUMINÁRIA TIPO SPOT ORIENTÁVEL PARA 1 LÂMPADA HALÓGENA AR 111, EM ALUMINIO EXTRUDADO NA COR BRANCA - MODELO THOR COD. PRO10131 FABRICANTE ALTENA OU EQUIVALENTE TÉCNICO</v>
          </cell>
          <cell r="E98" t="str">
            <v>UND</v>
          </cell>
          <cell r="F98">
            <v>34</v>
          </cell>
          <cell r="G98">
            <v>227.56</v>
          </cell>
          <cell r="H98">
            <v>284.45</v>
          </cell>
          <cell r="I98">
            <v>9671.2999999999993</v>
          </cell>
          <cell r="J98">
            <v>0.25</v>
          </cell>
        </row>
        <row r="99">
          <cell r="A99" t="str">
            <v>4.2.1.8</v>
          </cell>
          <cell r="B99" t="str">
            <v>COMPS9008</v>
          </cell>
          <cell r="C99" t="str">
            <v>COMPOSIÇÃO</v>
          </cell>
          <cell r="D99" t="str">
            <v>FORNECIMENTO E INSTALAÇÃO DE LUMINÁRIA TIPO CALHA DE SOBREPOR PARA 2 LÂMPADAS FLUORESCENTES TUBULARES, EM PINTURA ELETROSTÁTICA EPÓXI-PÓ NA COR BRANCA - MODELO 3532 COD. 3532.232.300 FABRICANTE ITAIM OU EQUIVALENTE TECNICO</v>
          </cell>
          <cell r="E99" t="str">
            <v>UND</v>
          </cell>
          <cell r="F99">
            <v>1</v>
          </cell>
          <cell r="G99">
            <v>113.8</v>
          </cell>
          <cell r="H99">
            <v>142.25</v>
          </cell>
          <cell r="I99">
            <v>142.25</v>
          </cell>
          <cell r="J99">
            <v>0.25</v>
          </cell>
        </row>
        <row r="100">
          <cell r="A100" t="str">
            <v>4.2.1.9</v>
          </cell>
          <cell r="B100" t="str">
            <v>COMPS9009</v>
          </cell>
          <cell r="C100" t="str">
            <v>COMPOSIÇÃO</v>
          </cell>
          <cell r="D100" t="str">
            <v>FORNECIMENTO E INSTALAÇÃO DE LUMINÁRIA QUADRADA DE EMBUTIR PARA 2 LÂMPADAS FLUORESCENTE COMPACTAS. CORPO E ALETAS PLANAS EM CHAPA DE AÇO TRATADA COM ACABAMENTO EM PINTURA ELETROSTÁTICA EPOXI-PÓ NA COR BRANCA - MODELO SAFIRA COD. 8023.2C6.100 FABRICANTE ITAIM OU EQUIVALENTE TÉCNICO</v>
          </cell>
          <cell r="E100" t="str">
            <v>UND</v>
          </cell>
          <cell r="F100">
            <v>51</v>
          </cell>
          <cell r="G100">
            <v>71.77000000000001</v>
          </cell>
          <cell r="H100">
            <v>89.71</v>
          </cell>
          <cell r="I100">
            <v>4575.21</v>
          </cell>
          <cell r="J100">
            <v>0.25</v>
          </cell>
        </row>
        <row r="101">
          <cell r="A101" t="str">
            <v>4.2.1.10</v>
          </cell>
          <cell r="B101" t="str">
            <v>COMPS9010</v>
          </cell>
          <cell r="C101" t="str">
            <v>COMPOSIÇÃO</v>
          </cell>
          <cell r="D101" t="str">
            <v>FORNECIMENTO E INSTALAÇÃO DE LUMINÁRIA PENDENTE TIPO CALHA DE LUZ DIRETA E INDIRETA PARA 2 LÂMPADAS FLUORESCENTE TUBULAR DE 14W. CORPO E ALETAS PLANAS EM CHAPA DE AÇO TRATADA COM ACABAMENTO EM PINTURA ELETROSTÁTICA EPÓXI-PÓ NA COR BRANCA - MODELO 3416 COD. 3416.214.500 FABRICANTE ITAIM OU EQUIVALENTE TÉCNICO</v>
          </cell>
          <cell r="E101" t="str">
            <v>UND</v>
          </cell>
          <cell r="F101">
            <v>3</v>
          </cell>
          <cell r="G101">
            <v>299.11</v>
          </cell>
          <cell r="H101">
            <v>373.89</v>
          </cell>
          <cell r="I101">
            <v>1121.67</v>
          </cell>
          <cell r="J101">
            <v>0.25</v>
          </cell>
        </row>
        <row r="102">
          <cell r="A102" t="str">
            <v>4.2.1.11</v>
          </cell>
          <cell r="B102" t="str">
            <v>COMPS9011</v>
          </cell>
          <cell r="C102" t="str">
            <v>COMPOSIÇÃO</v>
          </cell>
          <cell r="D102" t="str">
            <v>FORNECIMENTO E INSTALAÇÃO DE LUMINÁRIA PENDENTE TIPO CALHA DE LUZ DIRETA E INDIRETA PARA 2 LÂMPADAS FLUORESCENTE TUBULAR DE 28W. CORPO E ALETAS PLANAS EM CHAPA DE AÇO TRATADA COM ACABAMENTO EM PINTURA ELETROSTÁTICA EPÓXI-PÓ NA COR BRANCA - MODELO 3416 COD. 3416.228.500 FABRICANTE ITAIM OU EQUIVALENTE TÉCNICO</v>
          </cell>
          <cell r="E102" t="str">
            <v>UND</v>
          </cell>
          <cell r="F102">
            <v>6</v>
          </cell>
          <cell r="G102">
            <v>519.21</v>
          </cell>
          <cell r="H102">
            <v>649.01</v>
          </cell>
          <cell r="I102">
            <v>3894.06</v>
          </cell>
          <cell r="J102">
            <v>0.25</v>
          </cell>
        </row>
        <row r="103">
          <cell r="A103" t="str">
            <v>4.2.1.12</v>
          </cell>
          <cell r="B103" t="str">
            <v>COMPS9012</v>
          </cell>
          <cell r="C103" t="str">
            <v>COMPOSIÇÃO</v>
          </cell>
          <cell r="D103" t="str">
            <v>FORNECIMENTO E INSTALAÇÃO DE LUMINÁRIA DE SOBREPOR TIPO PLAFON, PARA 1 LÂMPADA FLUORESCENTE COMPACTA, CORPO EM ALUMINIO REPUXADO COM ACABAMENTO EM PINTURA ELETROSTÁTICA EPÓXI PÓ NA COR BRANCA REFLETOR EM ALUMINIO ANODIZADO E DIFUSOR EM VIDRO PLANO TEMPERADO TRANSPARENTE - MODELO MARFIM COD. 8028.1A1.3X0, FABRICANTE ITAIM OU EQUIVALENTE TECNICO.</v>
          </cell>
          <cell r="E103" t="str">
            <v>UND</v>
          </cell>
          <cell r="F103">
            <v>2</v>
          </cell>
          <cell r="G103">
            <v>115.50999999999999</v>
          </cell>
          <cell r="H103">
            <v>144.38999999999999</v>
          </cell>
          <cell r="I103">
            <v>288.77999999999997</v>
          </cell>
          <cell r="J103">
            <v>0.25</v>
          </cell>
        </row>
        <row r="104">
          <cell r="A104" t="str">
            <v>4.2.1.13</v>
          </cell>
          <cell r="B104" t="str">
            <v>COMPS9013</v>
          </cell>
          <cell r="C104" t="str">
            <v>COMPOSIÇÃO</v>
          </cell>
          <cell r="D104" t="str">
            <v>FORNECIMENTO E INSTALAÇÃO DE LUMINÁRIA TIPO PENDENTE EM ALUMINIO NA COR BRANCA PARA 1 LAMPADA HALOGENA PAR 16  - MODELO SOTTILE COD. ST20014, FABRICANTE NEW LINE OU EQUIVALENTE TECNICO</v>
          </cell>
          <cell r="E104" t="str">
            <v>UND</v>
          </cell>
          <cell r="F104">
            <v>4</v>
          </cell>
          <cell r="G104">
            <v>245.78</v>
          </cell>
          <cell r="H104">
            <v>307.23</v>
          </cell>
          <cell r="I104">
            <v>1228.92</v>
          </cell>
          <cell r="J104">
            <v>0.25</v>
          </cell>
        </row>
        <row r="105">
          <cell r="A105">
            <v>0</v>
          </cell>
          <cell r="B105">
            <v>0</v>
          </cell>
          <cell r="C105">
            <v>0</v>
          </cell>
          <cell r="D105" t="str">
            <v/>
          </cell>
          <cell r="E105" t="str">
            <v/>
          </cell>
          <cell r="F105">
            <v>0</v>
          </cell>
          <cell r="G105" t="str">
            <v/>
          </cell>
          <cell r="H105" t="str">
            <v/>
          </cell>
          <cell r="I105">
            <v>0</v>
          </cell>
          <cell r="J105">
            <v>0</v>
          </cell>
        </row>
        <row r="106">
          <cell r="A106" t="str">
            <v>4.2.2</v>
          </cell>
          <cell r="B106">
            <v>0</v>
          </cell>
          <cell r="C106">
            <v>0</v>
          </cell>
          <cell r="D106" t="str">
            <v>LUMINÁRIAS EXTERNAS</v>
          </cell>
          <cell r="E106" t="str">
            <v/>
          </cell>
          <cell r="F106">
            <v>0</v>
          </cell>
          <cell r="G106" t="str">
            <v/>
          </cell>
          <cell r="H106" t="str">
            <v/>
          </cell>
          <cell r="I106">
            <v>0</v>
          </cell>
          <cell r="J106">
            <v>0</v>
          </cell>
        </row>
        <row r="107">
          <cell r="A107" t="str">
            <v>4.2.2.1</v>
          </cell>
          <cell r="B107" t="str">
            <v>COMPS9014</v>
          </cell>
          <cell r="C107" t="str">
            <v>COMPOSIÇÃO</v>
          </cell>
          <cell r="D107" t="str">
            <v>FORNECIMENTO E INSTALAÇÃO DE LUMINÁRIA CIRCULAR PARA POSTE, TIPO PÉTALA, PARA 1 LÂMPADA DE VAPOR METÁLICO TUBULAR DE 250W, NA COR PRETA, DIFUSOR EM VIDRO PLANO TRANSPARENTE TEMPERADO, ALOJAMENTO PARA OS EQUIPAMENTOS AUXILIARES NA PRÓPRIA LUMINÁRIA; MODELO SODALITA-P 1XHIT 250W REFERENCIA 8371.1A3.610, FABRICANTE ITAIM OU EQUIVALENTE TECNICO</v>
          </cell>
          <cell r="E107" t="str">
            <v>UND</v>
          </cell>
          <cell r="F107">
            <v>9</v>
          </cell>
          <cell r="G107">
            <v>844.1</v>
          </cell>
          <cell r="H107">
            <v>1055.1300000000001</v>
          </cell>
          <cell r="I107">
            <v>9496.17</v>
          </cell>
          <cell r="J107">
            <v>0.25</v>
          </cell>
        </row>
        <row r="108">
          <cell r="A108" t="str">
            <v>4.2.2.2</v>
          </cell>
          <cell r="B108" t="str">
            <v>COMPS9015</v>
          </cell>
          <cell r="C108" t="str">
            <v>COMPOSIÇÃO</v>
          </cell>
          <cell r="D108" t="str">
            <v>FORNECIMENTO E INSTALAÇÃO DE LUMINÁRIA CIRCULAR DE EMBUTIR NO SOLO, PARA 1 LÂMPADA HALÓGENA REFLETORA PAR-30 DE 75W, PINTURA ELETROSTÁTICA EPÓXI-PÓ NA COR PRETA, DIFUSOR EM VIDRO PLANO TEMPERADO TRANSPARENTE E TUBO RÍGIDO EM PVC COM GRAU DE PROTEÇÃO IP65 PARA INSTALAÇÃO DA LUMINÁRIA; MODELO YBYPÊ 1XQPAR30 75W, REFERENCIA 8264.1A1.71P, FABRICANTE ITAIM OU EQUIVALENTE TECNICO</v>
          </cell>
          <cell r="E108" t="str">
            <v>UND</v>
          </cell>
          <cell r="F108">
            <v>12</v>
          </cell>
          <cell r="G108">
            <v>192.07</v>
          </cell>
          <cell r="H108">
            <v>240.09</v>
          </cell>
          <cell r="I108">
            <v>2881.08</v>
          </cell>
          <cell r="J108">
            <v>0.25</v>
          </cell>
        </row>
        <row r="109">
          <cell r="A109" t="str">
            <v>4.2.2.3</v>
          </cell>
          <cell r="B109" t="str">
            <v>COMPS9016</v>
          </cell>
          <cell r="C109" t="str">
            <v>COMPOSIÇÃO</v>
          </cell>
          <cell r="D109" t="str">
            <v>FORNECIMENTO E INSTALAÇÃO DE MINI BALIZADOR COM CORPO EM ALUMINIO, DOTADA DE LED DE 0,2W COM EMISSÃO DIFUSA, NA COR PRETA. IP 67, LED COM TEMPERATURA DE COR DE 3.000K MODELO FIT FABRICANTE LED PLUS OU EQUIVALENTE TÉCNICO</v>
          </cell>
          <cell r="E109" t="str">
            <v>UND</v>
          </cell>
          <cell r="F109">
            <v>14</v>
          </cell>
          <cell r="G109">
            <v>305.77999999999997</v>
          </cell>
          <cell r="H109">
            <v>382.23</v>
          </cell>
          <cell r="I109">
            <v>5351.22</v>
          </cell>
          <cell r="J109">
            <v>0.25</v>
          </cell>
        </row>
        <row r="110">
          <cell r="A110" t="str">
            <v>4.2.2.4</v>
          </cell>
          <cell r="B110" t="str">
            <v>COMPS9017</v>
          </cell>
          <cell r="C110" t="str">
            <v>COMPOSIÇÃO</v>
          </cell>
          <cell r="D110" t="str">
            <v>FORNECIMENTO E INSTALAÇÃO DE LUMINÁRIA DE SOBREPOR TIPO SPOT COM FOCO ORIENTÁVEL, PARA 1 LÂMPADA HALÓGENA PAR30 DE 75W. CORPO EM ALUMÍNIO REPUXADO COM ACABAMENTO EM PINTURA ELETROSTÁTICA EPÓXI-PÓ NA COR PRETA. POSSUI ESPETO PARA FIXAÇÃO NO SOLO - MODELO TURQUESA COD. 8077.1A1.70P, FABRICANTE ITAIM OU EQUIVALENTE TECNICO</v>
          </cell>
          <cell r="E110" t="str">
            <v>UND</v>
          </cell>
          <cell r="F110">
            <v>6</v>
          </cell>
          <cell r="G110">
            <v>57.07</v>
          </cell>
          <cell r="H110">
            <v>71.34</v>
          </cell>
          <cell r="I110">
            <v>428.04</v>
          </cell>
          <cell r="J110">
            <v>0.25</v>
          </cell>
        </row>
        <row r="111">
          <cell r="A111" t="str">
            <v>4.2.2.5</v>
          </cell>
          <cell r="B111" t="str">
            <v>COMPS9018</v>
          </cell>
          <cell r="C111" t="str">
            <v>COMPOSIÇÃO</v>
          </cell>
          <cell r="D111" t="str">
            <v>FORNECIMENTO E INSTALAÇÃO DE BALIZADOR EM ALUMÍNIO TRATADO E PINTADO POR PROCESSO ELETROSTÁTICO NA COR CINZA PARA 1 LÂMPADA FLUORESCENTE COMPACTA TRIPLA 18W, (HXLXP) 705X130X130MM IP 54, FABRICANTE KUBE H COD. 18 T LC, FABRICANTE LUMINI OU EQUIVALENTE TECNICO</v>
          </cell>
          <cell r="E111" t="str">
            <v>UND</v>
          </cell>
          <cell r="F111">
            <v>4</v>
          </cell>
          <cell r="G111">
            <v>222.51</v>
          </cell>
          <cell r="H111">
            <v>278.14</v>
          </cell>
          <cell r="I111">
            <v>1112.56</v>
          </cell>
          <cell r="J111">
            <v>0.25</v>
          </cell>
        </row>
        <row r="112">
          <cell r="A112" t="str">
            <v>4.2.2.6</v>
          </cell>
          <cell r="B112" t="str">
            <v>COMPS9019</v>
          </cell>
          <cell r="C112" t="str">
            <v>COMPOSIÇÃO</v>
          </cell>
          <cell r="D112" t="str">
            <v>FORNECIMENTO E INSTALAÇÃO DE POSTE METALICO DECORATIVO EXTERNO PARA JARDIM H = 3,50M D = 75MM, FLANGEADO</v>
          </cell>
          <cell r="E112" t="str">
            <v>UND</v>
          </cell>
          <cell r="F112">
            <v>8</v>
          </cell>
          <cell r="G112">
            <v>785.53</v>
          </cell>
          <cell r="H112">
            <v>981.91</v>
          </cell>
          <cell r="I112">
            <v>7855.28</v>
          </cell>
          <cell r="J112">
            <v>0.25</v>
          </cell>
        </row>
        <row r="113">
          <cell r="A113" t="str">
            <v>4.2.2.7</v>
          </cell>
          <cell r="B113" t="str">
            <v>COMPS9020</v>
          </cell>
          <cell r="C113" t="str">
            <v>COMPOSIÇÃO</v>
          </cell>
          <cell r="D113" t="str">
            <v>FORNECIMENTO E INSTALAÇÃO DE PROJETOR DE EMBUTIR NO SOLO PARA LAMPADA VAPOR METÁLICO DE BULBO CERÂMICO, COM FECHAMENTO EM VIDRO TEMPERADO 19MM, FACHO FECHADO, TEMPERATURA DE COR 3.000K</v>
          </cell>
          <cell r="E113" t="str">
            <v>UND</v>
          </cell>
          <cell r="F113">
            <v>4</v>
          </cell>
          <cell r="G113">
            <v>502.22</v>
          </cell>
          <cell r="H113">
            <v>627.78</v>
          </cell>
          <cell r="I113">
            <v>2511.12</v>
          </cell>
          <cell r="J113">
            <v>0.25</v>
          </cell>
        </row>
        <row r="114">
          <cell r="A114" t="str">
            <v>4.2.2.8</v>
          </cell>
          <cell r="B114" t="str">
            <v>COMPS9021</v>
          </cell>
          <cell r="C114" t="str">
            <v>COMPOSIÇÃO</v>
          </cell>
          <cell r="D114" t="str">
            <v>FORNECIMENTO E INSTALAÇÃO DE LUMINÁRIA LINEAR COM 48 LEDS DE POTÊNCIA, TEMP. DE COR 2700K, COMPRIMENTO DE 1219MM, FACHO DE ABERTURA 30°X60° FIXAÇÃO ATRAVÉS DE SUPORTE NA COR ALUMÍNIO COM INCLINAÇÃO DO PROJETOR PARA FOCALIZAÇÃO DE ATÉ 115°.</v>
          </cell>
          <cell r="E114" t="str">
            <v>UND</v>
          </cell>
          <cell r="F114">
            <v>9</v>
          </cell>
          <cell r="G114">
            <v>1676.63</v>
          </cell>
          <cell r="H114">
            <v>2095.79</v>
          </cell>
          <cell r="I114">
            <v>18862.11</v>
          </cell>
          <cell r="J114">
            <v>0.25</v>
          </cell>
        </row>
        <row r="115">
          <cell r="A115" t="str">
            <v>4.2.2.9</v>
          </cell>
          <cell r="B115" t="str">
            <v>COMPS9022</v>
          </cell>
          <cell r="C115" t="str">
            <v>COMPOSIÇÃO</v>
          </cell>
          <cell r="D115" t="str">
            <v>FORNECIMENTO E INSTALAÇÃO DE LUMINÁRIA LINEAR COM LEDS DE POTÊNCIA NA COR BRANCA, TEMP. DE COR 2700K, COMPRIMENTO DE 1219MM, FACHO DE ABERTUA 90°X90°, FIXAÇÃO ATRAVÉS DE SUPORTE NA COR ALUMÍNIO COM INCLINAÇÃO DO PROJETOR PARA FOCALIZAÇÃO DE ATÉ 115°.</v>
          </cell>
          <cell r="E115" t="str">
            <v>UND</v>
          </cell>
          <cell r="F115">
            <v>46</v>
          </cell>
          <cell r="G115">
            <v>1241.74</v>
          </cell>
          <cell r="H115">
            <v>1552.18</v>
          </cell>
          <cell r="I115">
            <v>71400.28</v>
          </cell>
          <cell r="J115">
            <v>0.25</v>
          </cell>
        </row>
        <row r="116">
          <cell r="A116">
            <v>0</v>
          </cell>
          <cell r="B116">
            <v>0</v>
          </cell>
          <cell r="C116">
            <v>0</v>
          </cell>
          <cell r="D116" t="str">
            <v/>
          </cell>
          <cell r="E116" t="str">
            <v/>
          </cell>
          <cell r="F116">
            <v>0</v>
          </cell>
          <cell r="G116" t="str">
            <v/>
          </cell>
          <cell r="H116" t="str">
            <v/>
          </cell>
          <cell r="I116">
            <v>0</v>
          </cell>
          <cell r="J116">
            <v>0</v>
          </cell>
        </row>
        <row r="117">
          <cell r="A117" t="str">
            <v>4.2.3</v>
          </cell>
          <cell r="B117">
            <v>0</v>
          </cell>
          <cell r="C117">
            <v>0</v>
          </cell>
          <cell r="D117" t="str">
            <v>LAMPADAS E REATORES</v>
          </cell>
          <cell r="E117" t="str">
            <v/>
          </cell>
          <cell r="F117">
            <v>0</v>
          </cell>
          <cell r="G117" t="str">
            <v/>
          </cell>
          <cell r="H117" t="str">
            <v/>
          </cell>
          <cell r="I117">
            <v>0</v>
          </cell>
          <cell r="J117">
            <v>0</v>
          </cell>
        </row>
        <row r="118">
          <cell r="A118" t="str">
            <v>4.2.3.1</v>
          </cell>
          <cell r="B118" t="str">
            <v>COMPS9023</v>
          </cell>
          <cell r="C118" t="str">
            <v>COMPOSIÇÃO</v>
          </cell>
          <cell r="D118" t="str">
            <v>FORNECIMENTO E INSTALAÇÃO DE LAMPADA FLUORESCENTE COMPACTA ELETRONICA 20W, MOD. DULUXSTAR 20W/827, SOQUETE E-27, FAB. OSRAW OU EQUIVALENTE TECNICO</v>
          </cell>
          <cell r="E118" t="str">
            <v>UND</v>
          </cell>
          <cell r="F118">
            <v>6</v>
          </cell>
          <cell r="G118">
            <v>8.73</v>
          </cell>
          <cell r="H118">
            <v>10.91</v>
          </cell>
          <cell r="I118">
            <v>65.459999999999994</v>
          </cell>
          <cell r="J118">
            <v>0.25</v>
          </cell>
        </row>
        <row r="119">
          <cell r="A119" t="str">
            <v>4.2.3.2</v>
          </cell>
          <cell r="B119" t="str">
            <v>COMPS9024</v>
          </cell>
          <cell r="C119" t="str">
            <v>COMPOSIÇÃO</v>
          </cell>
          <cell r="D119" t="str">
            <v>FORNECIMENTO E INSTALAÇÃO DE LAMPADA FLUORESCENTE COMPACTA ELETRONICA 20W, MOD. DULUXSTAR 20W/865, SOQUETE E-27, FAB. OSRAW OU EQUIVALENTE TECNICO</v>
          </cell>
          <cell r="E119" t="str">
            <v>UND</v>
          </cell>
          <cell r="F119">
            <v>60</v>
          </cell>
          <cell r="G119">
            <v>10.71</v>
          </cell>
          <cell r="H119">
            <v>13.39</v>
          </cell>
          <cell r="I119">
            <v>803.4</v>
          </cell>
          <cell r="J119">
            <v>0.25</v>
          </cell>
        </row>
        <row r="120">
          <cell r="A120" t="str">
            <v>4.2.3.3</v>
          </cell>
          <cell r="B120" t="str">
            <v>COMPS9025</v>
          </cell>
          <cell r="C120" t="str">
            <v>COMPOSIÇÃO</v>
          </cell>
          <cell r="D120" t="str">
            <v>FORNECIMENTO E INSTALAÇÃO DE LÂMPADA HALÓGENA REFLETORA PAR-30 DE 75W, SOQUETE E-27</v>
          </cell>
          <cell r="E120" t="str">
            <v>UND</v>
          </cell>
          <cell r="F120">
            <v>63</v>
          </cell>
          <cell r="G120">
            <v>32.160000000000004</v>
          </cell>
          <cell r="H120">
            <v>40.200000000000003</v>
          </cell>
          <cell r="I120">
            <v>2532.6</v>
          </cell>
          <cell r="J120">
            <v>0.25</v>
          </cell>
        </row>
        <row r="121">
          <cell r="A121" t="str">
            <v>4.2.3.4</v>
          </cell>
          <cell r="B121" t="str">
            <v>COMPS9026</v>
          </cell>
          <cell r="C121" t="str">
            <v>COMPOSIÇÃO</v>
          </cell>
          <cell r="D121" t="str">
            <v>FORNECIMENTO E INSTALAÇÃO DE LAMPADA FLUORESCENTE TUBULAR T8 32W, COMP. 1200MM MOD. FLUORESCENTE TUBULAR T8 F032W/830, FAB. OSRAW OU EQUIVALENTE TECNICO</v>
          </cell>
          <cell r="E121" t="str">
            <v>UND</v>
          </cell>
          <cell r="F121">
            <v>2</v>
          </cell>
          <cell r="G121">
            <v>9.33</v>
          </cell>
          <cell r="H121">
            <v>11.66</v>
          </cell>
          <cell r="I121">
            <v>23.32</v>
          </cell>
          <cell r="J121">
            <v>0.25</v>
          </cell>
        </row>
        <row r="122">
          <cell r="A122" t="str">
            <v>4.2.3.5</v>
          </cell>
          <cell r="B122" t="str">
            <v>COMPS9027</v>
          </cell>
          <cell r="C122" t="str">
            <v>COMPOSIÇÃO</v>
          </cell>
          <cell r="D122" t="str">
            <v>FORNECIMENTO E INSTALAÇÃO DE REATOR ELETRONICO PARA 2 LAMPADA TUBULAR 32W MODELO QUICKTRONIC PROFISSIONAL QTP8 2X32 T8 UNV ISN-SC 220V, FAB. OSRAW OU EQUIVALENTE TECNICO</v>
          </cell>
          <cell r="E122" t="str">
            <v>UND</v>
          </cell>
          <cell r="F122">
            <v>1</v>
          </cell>
          <cell r="G122">
            <v>33.25</v>
          </cell>
          <cell r="H122">
            <v>41.56</v>
          </cell>
          <cell r="I122">
            <v>41.56</v>
          </cell>
          <cell r="J122">
            <v>0.25</v>
          </cell>
        </row>
        <row r="123">
          <cell r="A123" t="str">
            <v>4.2.3.6</v>
          </cell>
          <cell r="B123" t="str">
            <v>COMPS9028</v>
          </cell>
          <cell r="C123" t="str">
            <v>COMPOSIÇÃO</v>
          </cell>
          <cell r="D123" t="str">
            <v>FORNECIMENTO E INSTALAÇÃO DE LÂMPADA FLUORESCENTE COMPACTA DUPLA 26W, MOD. DULUX D 26W/840, FAB. OSRAW OU EQUIVALENTE TECNICO</v>
          </cell>
          <cell r="E123" t="str">
            <v>UND</v>
          </cell>
          <cell r="F123">
            <v>102</v>
          </cell>
          <cell r="G123">
            <v>10.67</v>
          </cell>
          <cell r="H123">
            <v>13.34</v>
          </cell>
          <cell r="I123">
            <v>1360.68</v>
          </cell>
          <cell r="J123">
            <v>0.25</v>
          </cell>
        </row>
        <row r="124">
          <cell r="A124" t="str">
            <v>4.2.3.7</v>
          </cell>
          <cell r="B124" t="str">
            <v>COMPS9029</v>
          </cell>
          <cell r="C124" t="str">
            <v>COMPOSIÇÃO</v>
          </cell>
          <cell r="D124" t="str">
            <v>FORNECIMENTO E INSTALAÇÃO DE REATOR ELETRONICO PARA 2 LÂMPADAS FLUORESCENTE COMPACTAS DE 26W MOD. QTP-M2X26-32/220-240 FAB. OSRAM OU EQUIVALENTE TÉCNICO</v>
          </cell>
          <cell r="E124" t="str">
            <v>UND</v>
          </cell>
          <cell r="F124">
            <v>51</v>
          </cell>
          <cell r="G124">
            <v>52.94</v>
          </cell>
          <cell r="H124">
            <v>66.180000000000007</v>
          </cell>
          <cell r="I124">
            <v>3375.18</v>
          </cell>
          <cell r="J124">
            <v>0.25</v>
          </cell>
        </row>
        <row r="125">
          <cell r="A125" t="str">
            <v>4.2.3.8</v>
          </cell>
          <cell r="B125" t="str">
            <v>COMPS9030</v>
          </cell>
          <cell r="C125" t="str">
            <v>COMPOSIÇÃO</v>
          </cell>
          <cell r="D125" t="str">
            <v>FORNECIMENTO E INSTALAÇÃO DE LÂMPADA FLUORESCENTE TUBULAR T5 14W, COMP. 549MM, MOD. LUMILUX T5 HE 14W/840, FAB. OSRAW OU EQUIVALENTE TECNICO</v>
          </cell>
          <cell r="E125" t="str">
            <v>UND</v>
          </cell>
          <cell r="F125">
            <v>6</v>
          </cell>
          <cell r="G125">
            <v>8.07</v>
          </cell>
          <cell r="H125">
            <v>10.09</v>
          </cell>
          <cell r="I125">
            <v>60.54</v>
          </cell>
          <cell r="J125">
            <v>0.25</v>
          </cell>
        </row>
        <row r="126">
          <cell r="A126" t="str">
            <v>4.2.3.9</v>
          </cell>
          <cell r="B126" t="str">
            <v>COMPS9031</v>
          </cell>
          <cell r="C126" t="str">
            <v>COMPOSIÇÃO</v>
          </cell>
          <cell r="D126" t="str">
            <v>FORNECIMENTO E INSTALAÇÃO DE LAMPADA FLUORESCENTE TUBULAR T5 28W, COMP. 1149MM, MOD. LUMILUX T5 HE 28W/840, FAB. OSRAW OU EQUIVALENTE TECNICO</v>
          </cell>
          <cell r="E126" t="str">
            <v>UND</v>
          </cell>
          <cell r="F126">
            <v>12</v>
          </cell>
          <cell r="G126">
            <v>8.6</v>
          </cell>
          <cell r="H126">
            <v>10.75</v>
          </cell>
          <cell r="I126">
            <v>129</v>
          </cell>
          <cell r="J126">
            <v>0.25</v>
          </cell>
        </row>
        <row r="127">
          <cell r="A127" t="str">
            <v>4.2.3.10</v>
          </cell>
          <cell r="B127" t="str">
            <v>COMPS9032</v>
          </cell>
          <cell r="C127" t="str">
            <v>COMPOSIÇÃO</v>
          </cell>
          <cell r="D127" t="str">
            <v>FORNECIMENTO E INSTALAÇÃO DE REATOR ELETRONICO PARA 2 LAMPADA TUBULAR 14W OU 28W MODELO QUICKTRONIC PROFESSIONAL QTP5 2X14-35/220-240, FAB. OSRAW OU EQUIVALENTE TECNICO</v>
          </cell>
          <cell r="E127" t="str">
            <v>UND</v>
          </cell>
          <cell r="F127">
            <v>9</v>
          </cell>
          <cell r="G127">
            <v>57.66</v>
          </cell>
          <cell r="H127">
            <v>72.08</v>
          </cell>
          <cell r="I127">
            <v>648.72</v>
          </cell>
          <cell r="J127">
            <v>0.25</v>
          </cell>
        </row>
        <row r="128">
          <cell r="A128" t="str">
            <v>4.2.3.11</v>
          </cell>
          <cell r="B128" t="str">
            <v>COMPS9033</v>
          </cell>
          <cell r="C128" t="str">
            <v>COMPOSIÇÃO</v>
          </cell>
          <cell r="D128" t="str">
            <v>FORNECIMENTO E INSTALAÇÃO DE LÂMPADA DE VAPOR METÁLICO TUBULAR DE 250W, SOQUETE E-40 MOD. POWERSTAT HQI T 250W/D PRO FAB. OSRAM OU EQUIVALENTE TÉCNICO</v>
          </cell>
          <cell r="E128" t="str">
            <v>UND</v>
          </cell>
          <cell r="F128">
            <v>9</v>
          </cell>
          <cell r="G128">
            <v>67.03</v>
          </cell>
          <cell r="H128">
            <v>83.79</v>
          </cell>
          <cell r="I128">
            <v>754.11</v>
          </cell>
          <cell r="J128">
            <v>0.25</v>
          </cell>
        </row>
        <row r="129">
          <cell r="A129" t="str">
            <v>4.2.3.12</v>
          </cell>
          <cell r="B129" t="str">
            <v>COMPS9034</v>
          </cell>
          <cell r="C129" t="str">
            <v>COMPOSIÇÃO</v>
          </cell>
          <cell r="D129" t="str">
            <v>FORNECIMENTO E INSTALAÇÃO DE REATOR ELETRONICO PARA LAMPADA DE VAPOR METALICO 250W, ALOJAMENTO ABRIGADO</v>
          </cell>
          <cell r="E129" t="str">
            <v>UND</v>
          </cell>
          <cell r="F129">
            <v>9</v>
          </cell>
          <cell r="G129">
            <v>114.16</v>
          </cell>
          <cell r="H129">
            <v>142.69999999999999</v>
          </cell>
          <cell r="I129">
            <v>1284.3</v>
          </cell>
          <cell r="J129">
            <v>0.25</v>
          </cell>
        </row>
        <row r="130">
          <cell r="A130" t="str">
            <v>4.2.3.13</v>
          </cell>
          <cell r="B130" t="str">
            <v>COMPS9035</v>
          </cell>
          <cell r="C130" t="str">
            <v>COMPOSIÇÃO</v>
          </cell>
          <cell r="D130" t="str">
            <v>FORNECIMENTO E INSTALAÇÃO DE LAMPADA FLUORESCENTE COMPACTA ELETRONICA 23W, MOD. DULUXSTAR 23W/865, SOQUETE E-27, FAB. OSRAW OU EQUIVALENTE TECNICO</v>
          </cell>
          <cell r="E130" t="str">
            <v>UND</v>
          </cell>
          <cell r="F130">
            <v>2</v>
          </cell>
          <cell r="G130">
            <v>11.74</v>
          </cell>
          <cell r="H130">
            <v>14.68</v>
          </cell>
          <cell r="I130">
            <v>29.36</v>
          </cell>
          <cell r="J130">
            <v>0.25</v>
          </cell>
        </row>
        <row r="131">
          <cell r="A131" t="str">
            <v>4.2.3.14</v>
          </cell>
          <cell r="B131" t="str">
            <v>COMPS9036</v>
          </cell>
          <cell r="C131" t="str">
            <v>COMPOSIÇÃO</v>
          </cell>
          <cell r="D131" t="str">
            <v>FORNECIMENTO E INSTALAÇÃO DE LÂMPADA HALÓGENA REFLETORA PAR-16 DE 50W, SOQUETE GU10 35º MOD. HALOPAR 16 64828FL FAB. OSRAM OU EQUIVALENTE TÉCNICO</v>
          </cell>
          <cell r="E131" t="str">
            <v>UND</v>
          </cell>
          <cell r="F131">
            <v>4</v>
          </cell>
          <cell r="G131">
            <v>22.73</v>
          </cell>
          <cell r="H131">
            <v>28.41</v>
          </cell>
          <cell r="I131">
            <v>113.64</v>
          </cell>
          <cell r="J131">
            <v>0.25</v>
          </cell>
        </row>
        <row r="132">
          <cell r="A132" t="str">
            <v>4.2.3.15</v>
          </cell>
          <cell r="B132" t="str">
            <v>COMPS9037</v>
          </cell>
          <cell r="C132" t="str">
            <v>COMPOSIÇÃO</v>
          </cell>
          <cell r="D132" t="str">
            <v>FORNECIMENTO E INSTALAÇÃO DE LÂMPADA HALÓGENA REFLETORA AR 111 50W, SOQUETE G53 24º MOD. HALOSPOT 111 41835FL FAB. OSRAM OU EQUIVALENTE TÉCNICO</v>
          </cell>
          <cell r="E132" t="str">
            <v>UND</v>
          </cell>
          <cell r="F132">
            <v>34</v>
          </cell>
          <cell r="G132">
            <v>33.130000000000003</v>
          </cell>
          <cell r="H132">
            <v>41.41</v>
          </cell>
          <cell r="I132">
            <v>1407.94</v>
          </cell>
          <cell r="J132">
            <v>0.25</v>
          </cell>
        </row>
        <row r="133">
          <cell r="A133" t="str">
            <v>4.2.3.16</v>
          </cell>
          <cell r="B133" t="str">
            <v>COMPS9038</v>
          </cell>
          <cell r="C133" t="str">
            <v>COMPOSIÇÃO</v>
          </cell>
          <cell r="D133" t="str">
            <v>FORNECIMENTO E INSTALAÇÃO DE TRANSFORMADOR PARA LÂMPADA HALÓGENA AR 111 DE 50W MOD. ET-ZL 50/220-240 FAB. OSRAM OU EQUIVALENTE TÉCNICO</v>
          </cell>
          <cell r="E133" t="str">
            <v>UND</v>
          </cell>
          <cell r="F133">
            <v>34</v>
          </cell>
          <cell r="G133">
            <v>23.400000000000002</v>
          </cell>
          <cell r="H133">
            <v>29.25</v>
          </cell>
          <cell r="I133">
            <v>994.5</v>
          </cell>
          <cell r="J133">
            <v>0.25</v>
          </cell>
        </row>
        <row r="134">
          <cell r="A134" t="str">
            <v>4.2.3.17</v>
          </cell>
          <cell r="B134" t="str">
            <v>COMPS9039</v>
          </cell>
          <cell r="C134" t="str">
            <v>COMPOSIÇÃO</v>
          </cell>
          <cell r="D134" t="str">
            <v>FORNECIMENTO E INSTALAÇÃO DE LÂMPADA FLUORESCENTE COMPACTA TRIPLA 18W, MOD. DULUX T 18W/840 PLUS, FAB. OSRAW OU EQUIVALENTE TECNICO</v>
          </cell>
          <cell r="E134" t="str">
            <v>UND</v>
          </cell>
          <cell r="F134">
            <v>4</v>
          </cell>
          <cell r="G134">
            <v>42.57</v>
          </cell>
          <cell r="H134">
            <v>53.21</v>
          </cell>
          <cell r="I134">
            <v>212.84</v>
          </cell>
          <cell r="J134">
            <v>0.25</v>
          </cell>
        </row>
        <row r="135">
          <cell r="A135" t="str">
            <v>4.2.3.18</v>
          </cell>
          <cell r="B135" t="str">
            <v>COMPS9040</v>
          </cell>
          <cell r="C135" t="str">
            <v>COMPOSIÇÃO</v>
          </cell>
          <cell r="D135" t="str">
            <v>FORNECIMENTO E INSTALAÇÃO DE REATOR ELETRONICO PARA 1 LÂMPADA FLUORESCENTE COMPACTA DE 18W MOD. EZ-T/E1X18/220-240 FAB. OSRAM OU EQUIVALENTE TÉCNICO</v>
          </cell>
          <cell r="E135" t="str">
            <v>UND</v>
          </cell>
          <cell r="F135">
            <v>4</v>
          </cell>
          <cell r="G135">
            <v>22.200000000000003</v>
          </cell>
          <cell r="H135">
            <v>27.75</v>
          </cell>
          <cell r="I135">
            <v>111</v>
          </cell>
          <cell r="J135">
            <v>0.25</v>
          </cell>
        </row>
        <row r="136">
          <cell r="A136" t="str">
            <v>4.2.3.19</v>
          </cell>
          <cell r="B136" t="str">
            <v>COMPS9041</v>
          </cell>
          <cell r="C136" t="str">
            <v>COMPOSIÇÃO</v>
          </cell>
          <cell r="D136" t="str">
            <v>FORNECIMENTO E INSTALAÇÃO DE LÂMPADA DE DESCARGA DE ALTA INTENSIDADE MASTER COLOUR MOD. CDM-TD70W/830 FAB. PHILIPS OU EQUIVALENTE TÉCNICO</v>
          </cell>
          <cell r="E136" t="str">
            <v>UND</v>
          </cell>
          <cell r="F136">
            <v>4</v>
          </cell>
          <cell r="G136">
            <v>150.97999999999999</v>
          </cell>
          <cell r="H136">
            <v>188.73</v>
          </cell>
          <cell r="I136">
            <v>754.92</v>
          </cell>
          <cell r="J136">
            <v>0.25</v>
          </cell>
        </row>
        <row r="137">
          <cell r="A137" t="str">
            <v>4.2.3.20</v>
          </cell>
          <cell r="B137" t="str">
            <v>COMPS9042</v>
          </cell>
          <cell r="C137" t="str">
            <v>COMPOSIÇÃO</v>
          </cell>
          <cell r="D137" t="str">
            <v>FORNECIMENTO E INSTALAÇÃO DE REATOR ELETROMAGNÉTICO PARA LAMPADA DE ALTA INTENSIDADE  MOD. VTE70A26 E FAB. PHILIPS OU EQUIVALENTE TÉCNICO</v>
          </cell>
          <cell r="E137" t="str">
            <v>UND</v>
          </cell>
          <cell r="F137">
            <v>4</v>
          </cell>
          <cell r="G137">
            <v>99.039999999999992</v>
          </cell>
          <cell r="H137">
            <v>123.8</v>
          </cell>
          <cell r="I137">
            <v>495.2</v>
          </cell>
          <cell r="J137">
            <v>0.25</v>
          </cell>
        </row>
        <row r="138">
          <cell r="A138">
            <v>0</v>
          </cell>
          <cell r="B138">
            <v>0</v>
          </cell>
          <cell r="C138">
            <v>0</v>
          </cell>
          <cell r="D138" t="str">
            <v/>
          </cell>
          <cell r="E138" t="str">
            <v/>
          </cell>
          <cell r="F138">
            <v>0</v>
          </cell>
          <cell r="G138" t="str">
            <v/>
          </cell>
          <cell r="H138" t="str">
            <v/>
          </cell>
          <cell r="I138">
            <v>0</v>
          </cell>
          <cell r="J138">
            <v>0</v>
          </cell>
        </row>
        <row r="139">
          <cell r="A139" t="str">
            <v>4.2.4</v>
          </cell>
          <cell r="B139">
            <v>0</v>
          </cell>
          <cell r="C139">
            <v>0</v>
          </cell>
          <cell r="D139" t="str">
            <v>DIVERSOS</v>
          </cell>
          <cell r="E139" t="str">
            <v/>
          </cell>
          <cell r="F139">
            <v>0</v>
          </cell>
          <cell r="G139" t="str">
            <v/>
          </cell>
          <cell r="H139" t="str">
            <v/>
          </cell>
          <cell r="I139">
            <v>0</v>
          </cell>
          <cell r="J139">
            <v>0</v>
          </cell>
        </row>
        <row r="140">
          <cell r="A140" t="str">
            <v>4.2.4.1</v>
          </cell>
          <cell r="B140" t="str">
            <v>COMPS9043</v>
          </cell>
          <cell r="C140" t="str">
            <v>COMPOSIÇÃO</v>
          </cell>
          <cell r="D140" t="str">
            <v>EXECUÇÃO DE BASE EM CONCRETO, DIMENSÕES 400X400X500MM, PARA POSTE FLANGEADO</v>
          </cell>
          <cell r="E140" t="str">
            <v>UND</v>
          </cell>
          <cell r="F140">
            <v>8</v>
          </cell>
          <cell r="G140">
            <v>38</v>
          </cell>
          <cell r="H140">
            <v>47.5</v>
          </cell>
          <cell r="I140">
            <v>380</v>
          </cell>
          <cell r="J140">
            <v>0.25</v>
          </cell>
        </row>
        <row r="141">
          <cell r="A141" t="str">
            <v>4.2.4.2</v>
          </cell>
          <cell r="B141" t="str">
            <v>COMPS9044</v>
          </cell>
          <cell r="C141" t="str">
            <v>COMPOSIÇÃO</v>
          </cell>
          <cell r="D141" t="str">
            <v>EXECUÇÃO DE BASE EM TUBO DE CONCRETO 200MM H=25CM, INCLUSIVE FUNDO DE BRITA, PARA INSTALAÇÃO DE LUMINARIA EMBUTIDA EM SOLO</v>
          </cell>
          <cell r="E141" t="str">
            <v>UND</v>
          </cell>
          <cell r="F141">
            <v>12</v>
          </cell>
          <cell r="G141">
            <v>13.33</v>
          </cell>
          <cell r="H141">
            <v>16.66</v>
          </cell>
          <cell r="I141">
            <v>199.92</v>
          </cell>
          <cell r="J141">
            <v>0.25</v>
          </cell>
        </row>
        <row r="142">
          <cell r="A142">
            <v>0</v>
          </cell>
          <cell r="B142">
            <v>0</v>
          </cell>
          <cell r="C142">
            <v>0</v>
          </cell>
          <cell r="D142" t="str">
            <v/>
          </cell>
          <cell r="E142" t="str">
            <v/>
          </cell>
          <cell r="F142">
            <v>0</v>
          </cell>
          <cell r="G142" t="str">
            <v/>
          </cell>
          <cell r="H142" t="str">
            <v/>
          </cell>
          <cell r="I142">
            <v>0</v>
          </cell>
          <cell r="J142">
            <v>0</v>
          </cell>
        </row>
        <row r="143">
          <cell r="A143" t="str">
            <v>4.3</v>
          </cell>
          <cell r="B143">
            <v>0</v>
          </cell>
          <cell r="C143">
            <v>0</v>
          </cell>
          <cell r="D143" t="str">
            <v>SPDA</v>
          </cell>
          <cell r="E143" t="str">
            <v/>
          </cell>
          <cell r="F143">
            <v>0</v>
          </cell>
          <cell r="G143" t="str">
            <v/>
          </cell>
          <cell r="H143" t="str">
            <v/>
          </cell>
          <cell r="I143">
            <v>0</v>
          </cell>
          <cell r="J143">
            <v>0</v>
          </cell>
        </row>
        <row r="144">
          <cell r="A144">
            <v>0</v>
          </cell>
          <cell r="B144">
            <v>0</v>
          </cell>
          <cell r="C144">
            <v>0</v>
          </cell>
          <cell r="D144" t="str">
            <v/>
          </cell>
          <cell r="E144" t="str">
            <v/>
          </cell>
          <cell r="F144">
            <v>0</v>
          </cell>
          <cell r="G144" t="str">
            <v/>
          </cell>
          <cell r="H144" t="str">
            <v/>
          </cell>
          <cell r="I144">
            <v>0</v>
          </cell>
          <cell r="J144">
            <v>0</v>
          </cell>
        </row>
        <row r="145">
          <cell r="A145" t="str">
            <v>4.3.1</v>
          </cell>
          <cell r="B145">
            <v>72253</v>
          </cell>
          <cell r="C145" t="str">
            <v>SINAPI SERVIÇO</v>
          </cell>
          <cell r="D145" t="str">
            <v>CABO DE COBRE NU 35MM2 - FORNECIMENTO E INSTALACAO</v>
          </cell>
          <cell r="E145" t="str">
            <v>M</v>
          </cell>
          <cell r="F145">
            <v>65</v>
          </cell>
          <cell r="G145">
            <v>22.01</v>
          </cell>
          <cell r="H145">
            <v>27.51</v>
          </cell>
          <cell r="I145">
            <v>1788.15</v>
          </cell>
          <cell r="J145">
            <v>0.25</v>
          </cell>
        </row>
        <row r="146">
          <cell r="A146" t="str">
            <v>4.3.2</v>
          </cell>
          <cell r="B146">
            <v>72251</v>
          </cell>
          <cell r="C146" t="str">
            <v>SINAPI SERVIÇO</v>
          </cell>
          <cell r="D146" t="str">
            <v>CABO DE COBRE NU 16MM2 - FORNECIMENTO E INSTALACAO</v>
          </cell>
          <cell r="E146" t="str">
            <v>M</v>
          </cell>
          <cell r="F146">
            <v>30</v>
          </cell>
          <cell r="G146">
            <v>11.17</v>
          </cell>
          <cell r="H146">
            <v>13.96</v>
          </cell>
          <cell r="I146">
            <v>418.8</v>
          </cell>
          <cell r="J146">
            <v>0.25</v>
          </cell>
        </row>
        <row r="147">
          <cell r="A147" t="str">
            <v>4.3.3</v>
          </cell>
          <cell r="B147">
            <v>72254</v>
          </cell>
          <cell r="C147" t="str">
            <v>SINAPI SERVIÇO</v>
          </cell>
          <cell r="D147" t="str">
            <v>CABO DE COBRE NU 50MM2 - FORNECIMENTO E INSTALACAO</v>
          </cell>
          <cell r="E147" t="str">
            <v>M</v>
          </cell>
          <cell r="F147">
            <v>100</v>
          </cell>
          <cell r="G147">
            <v>31.13</v>
          </cell>
          <cell r="H147">
            <v>38.909999999999997</v>
          </cell>
          <cell r="I147">
            <v>3891</v>
          </cell>
          <cell r="J147">
            <v>0.25</v>
          </cell>
        </row>
        <row r="148">
          <cell r="A148" t="str">
            <v>4.3.4</v>
          </cell>
          <cell r="B148">
            <v>83484</v>
          </cell>
          <cell r="C148" t="str">
            <v>SINAPI SERVIÇO</v>
          </cell>
          <cell r="D148" t="str">
            <v>HASTE COPERWELD 3/4" X 3,00M COM CONECTOR</v>
          </cell>
          <cell r="E148" t="str">
            <v>UN</v>
          </cell>
          <cell r="F148">
            <v>7</v>
          </cell>
          <cell r="G148">
            <v>57.95</v>
          </cell>
          <cell r="H148">
            <v>72.44</v>
          </cell>
          <cell r="I148">
            <v>507.08</v>
          </cell>
          <cell r="J148">
            <v>0.25</v>
          </cell>
        </row>
        <row r="149">
          <cell r="A149" t="str">
            <v>4.3.5</v>
          </cell>
          <cell r="B149" t="str">
            <v>COMPS30047</v>
          </cell>
          <cell r="C149" t="str">
            <v>COMPOSIÇÃO</v>
          </cell>
          <cell r="D149" t="str">
            <v>FORNECIMENTO E INSTALAÇÃO DE CAIXA DE INSPEÇÃO EM POLIPROPILENO, COM DIÂMETRO DE 300mm, COM TAMPA ABA LARGA, COM MESMO DIÂMETRO REF.: TEL-505 E TEL-551 DA TERMOTÉCNICA OU EQUIVALENTE TECNICO</v>
          </cell>
          <cell r="E149" t="str">
            <v>PÇ</v>
          </cell>
          <cell r="F149">
            <v>7</v>
          </cell>
          <cell r="G149">
            <v>67.39</v>
          </cell>
          <cell r="H149">
            <v>84.24</v>
          </cell>
          <cell r="I149">
            <v>589.67999999999995</v>
          </cell>
          <cell r="J149">
            <v>0.25</v>
          </cell>
        </row>
        <row r="150">
          <cell r="A150" t="str">
            <v>4.3.6</v>
          </cell>
          <cell r="B150" t="str">
            <v>COMPS30048</v>
          </cell>
          <cell r="C150" t="str">
            <v>COMPOSIÇÃO</v>
          </cell>
          <cell r="D150" t="str">
            <v>FORNECIMENTO E INSTALAÇÃO DE BARRA CHATA EM ALUMÍNIO PERFURADA E ESTAMPADA 3/4'' x 1/4'' x 3M</v>
          </cell>
          <cell r="E150" t="str">
            <v>PÇ</v>
          </cell>
          <cell r="F150">
            <v>12</v>
          </cell>
          <cell r="G150">
            <v>55.7</v>
          </cell>
          <cell r="H150">
            <v>69.63</v>
          </cell>
          <cell r="I150">
            <v>835.56</v>
          </cell>
          <cell r="J150">
            <v>0.25</v>
          </cell>
        </row>
        <row r="151">
          <cell r="A151" t="str">
            <v>4.3.7</v>
          </cell>
          <cell r="B151" t="str">
            <v>COMPS30049</v>
          </cell>
          <cell r="C151" t="str">
            <v>COMPOSIÇÃO</v>
          </cell>
          <cell r="D151" t="str">
            <v>FORNECIMENTO E INSTALAÇÃO DE PARAFUSO INOX 4,2 X 32MM</v>
          </cell>
          <cell r="E151" t="str">
            <v>PÇ</v>
          </cell>
          <cell r="F151">
            <v>35</v>
          </cell>
          <cell r="G151">
            <v>15.08</v>
          </cell>
          <cell r="H151">
            <v>18.850000000000001</v>
          </cell>
          <cell r="I151">
            <v>659.75</v>
          </cell>
          <cell r="J151">
            <v>0.25</v>
          </cell>
        </row>
        <row r="152">
          <cell r="A152" t="str">
            <v>4.3.8</v>
          </cell>
          <cell r="B152" t="str">
            <v>COMPS30050</v>
          </cell>
          <cell r="C152" t="str">
            <v>COMPOSIÇÃO</v>
          </cell>
          <cell r="D152" t="str">
            <v>FORNECIMENTO E INSTALAÇÃO DE BUCHA NYLON Nº 6</v>
          </cell>
          <cell r="E152" t="str">
            <v>PÇ</v>
          </cell>
          <cell r="F152">
            <v>35</v>
          </cell>
          <cell r="G152">
            <v>2.81</v>
          </cell>
          <cell r="H152">
            <v>3.51</v>
          </cell>
          <cell r="I152">
            <v>122.85</v>
          </cell>
          <cell r="J152">
            <v>0.25</v>
          </cell>
        </row>
        <row r="153">
          <cell r="A153" t="str">
            <v>4.3.9</v>
          </cell>
          <cell r="B153" t="str">
            <v>COMPS30012</v>
          </cell>
          <cell r="C153" t="str">
            <v>COMPOSIÇÃO</v>
          </cell>
          <cell r="D153" t="str">
            <v>FORNECIMENTO E INSTALAÇÃO DE ELETRODUTO ROSCÁVEL DE PVC RÍGIDO PRETO Ø1", ROSCA "BSP", FORNECIDO EM VARAS DE 3m DE COMPRIMENTO E COM 1 LUVA DE MESMO MATERIAL REF.: TIGRE OU EQUIVALENTE TECNICO</v>
          </cell>
          <cell r="E153" t="str">
            <v>PÇ</v>
          </cell>
          <cell r="F153">
            <v>5</v>
          </cell>
          <cell r="G153">
            <v>46.6</v>
          </cell>
          <cell r="H153">
            <v>58.25</v>
          </cell>
          <cell r="I153">
            <v>291.25</v>
          </cell>
          <cell r="J153">
            <v>0.25</v>
          </cell>
        </row>
        <row r="154">
          <cell r="A154" t="str">
            <v>4.3.10</v>
          </cell>
          <cell r="B154" t="str">
            <v>COMPS30051</v>
          </cell>
          <cell r="C154" t="str">
            <v>COMPOSIÇÃO</v>
          </cell>
          <cell r="D154" t="str">
            <v xml:space="preserve">FORNECIMENTO E INSTALAÇÃO DE ABRAÇADEIRA TIPO D 1" </v>
          </cell>
          <cell r="E154" t="str">
            <v>PÇ</v>
          </cell>
          <cell r="F154">
            <v>20</v>
          </cell>
          <cell r="G154">
            <v>4.78</v>
          </cell>
          <cell r="H154">
            <v>5.98</v>
          </cell>
          <cell r="I154">
            <v>119.6</v>
          </cell>
          <cell r="J154">
            <v>0.25</v>
          </cell>
        </row>
        <row r="155">
          <cell r="A155" t="str">
            <v>4.3.11</v>
          </cell>
          <cell r="B155" t="str">
            <v>COMPS30052</v>
          </cell>
          <cell r="C155" t="str">
            <v>COMPOSIÇÃO</v>
          </cell>
          <cell r="D155" t="str">
            <v>FORNECIMENTO E INSTALAÇÃO DE TERMINAL 2 FUROS PARA CABO DE 35MM2</v>
          </cell>
          <cell r="E155" t="str">
            <v>PÇ</v>
          </cell>
          <cell r="F155">
            <v>9</v>
          </cell>
          <cell r="G155">
            <v>17.560000000000002</v>
          </cell>
          <cell r="H155">
            <v>21.95</v>
          </cell>
          <cell r="I155">
            <v>197.55</v>
          </cell>
          <cell r="J155">
            <v>0.25</v>
          </cell>
        </row>
        <row r="156">
          <cell r="A156" t="str">
            <v>4.3.12</v>
          </cell>
          <cell r="B156" t="str">
            <v>COMPS30053</v>
          </cell>
          <cell r="C156" t="str">
            <v>COMPOSIÇÃO</v>
          </cell>
          <cell r="D156" t="str">
            <v>FORNECIMENTO E INSTALAÇÃO DE TERMINAL 4 FUROS PARA BARRA DE 3/4'' x 1/4''</v>
          </cell>
          <cell r="E156" t="str">
            <v>PÇ</v>
          </cell>
          <cell r="F156">
            <v>9</v>
          </cell>
          <cell r="G156">
            <v>33.19</v>
          </cell>
          <cell r="H156">
            <v>41.49</v>
          </cell>
          <cell r="I156">
            <v>373.41</v>
          </cell>
          <cell r="J156">
            <v>0.25</v>
          </cell>
        </row>
        <row r="157">
          <cell r="A157" t="str">
            <v>4.3.13</v>
          </cell>
          <cell r="B157" t="str">
            <v>COMPS30054</v>
          </cell>
          <cell r="C157" t="str">
            <v>COMPOSIÇÃO</v>
          </cell>
          <cell r="D157" t="str">
            <v>FORNECIMENTO E INSTALAÇÃO DE PRESILHA LATÃO COM FURO PARA CABO DE 35mm²</v>
          </cell>
          <cell r="E157" t="str">
            <v>PÇ</v>
          </cell>
          <cell r="F157">
            <v>30</v>
          </cell>
          <cell r="G157">
            <v>0.67</v>
          </cell>
          <cell r="H157">
            <v>0.84</v>
          </cell>
          <cell r="I157">
            <v>25.2</v>
          </cell>
          <cell r="J157">
            <v>0.25</v>
          </cell>
        </row>
        <row r="158">
          <cell r="A158" t="str">
            <v>4.3.14</v>
          </cell>
          <cell r="B158" t="str">
            <v>COMPS30055</v>
          </cell>
          <cell r="C158" t="str">
            <v>COMPOSIÇÃO</v>
          </cell>
          <cell r="D158" t="str">
            <v>FORNECIMENTO E INSTALAÇÃO DE CAIXA DE EQUALIZAÇÃO, COM SETE CONECTORES, ISOLADORES DE BAIXA TENSÃO DE φ 25mm E BARRAMENTO DE COBRE 150 x 150 x 6,3mm, CONFORME DETALHE EM PROJETO, REF.: TEL-901 DA TERMOTÉCNICA OU EQUIVALENTE TECNICO</v>
          </cell>
          <cell r="E158" t="str">
            <v>PÇ</v>
          </cell>
          <cell r="F158">
            <v>1</v>
          </cell>
          <cell r="G158">
            <v>141.1</v>
          </cell>
          <cell r="H158">
            <v>176.38</v>
          </cell>
          <cell r="I158">
            <v>176.38</v>
          </cell>
          <cell r="J158">
            <v>0.25</v>
          </cell>
        </row>
        <row r="159">
          <cell r="A159" t="str">
            <v>4.3.15</v>
          </cell>
          <cell r="B159">
            <v>72271</v>
          </cell>
          <cell r="C159" t="str">
            <v>SINAPI SERVIÇO</v>
          </cell>
          <cell r="D159" t="str">
            <v>CONECTOR PARAFUSO FENDIDO SPLIT-BOLT - PARA CABO DE 16MM2 - FORNECIMENTO E INSTALACAO</v>
          </cell>
          <cell r="E159" t="str">
            <v>UN</v>
          </cell>
          <cell r="F159">
            <v>8</v>
          </cell>
          <cell r="G159">
            <v>9.3699999999999992</v>
          </cell>
          <cell r="H159">
            <v>11.71</v>
          </cell>
          <cell r="I159">
            <v>93.68</v>
          </cell>
          <cell r="J159">
            <v>0.25</v>
          </cell>
        </row>
        <row r="160">
          <cell r="A160" t="str">
            <v>4.3.16</v>
          </cell>
          <cell r="B160" t="str">
            <v>COMPS30071</v>
          </cell>
          <cell r="C160" t="str">
            <v>COMPOSIÇÃO</v>
          </cell>
          <cell r="D160" t="str">
            <v>FORNECIMENTO E COLOCAÇÃO DE FITA PERFURADA EM LATÃO NIQUELADA REF.: TEL-750 DA TERMOTÉCNICA OU EQUIVALENTE TECNICO</v>
          </cell>
          <cell r="E160" t="str">
            <v>PÇ</v>
          </cell>
          <cell r="F160">
            <v>6</v>
          </cell>
          <cell r="G160">
            <v>81.61</v>
          </cell>
          <cell r="H160">
            <v>102.01</v>
          </cell>
          <cell r="I160">
            <v>612.05999999999995</v>
          </cell>
          <cell r="J160">
            <v>0.25</v>
          </cell>
        </row>
        <row r="161">
          <cell r="A161" t="str">
            <v>4.3.17</v>
          </cell>
          <cell r="B161" t="str">
            <v>COMPS30072</v>
          </cell>
          <cell r="C161" t="str">
            <v>COMPOSIÇÃO</v>
          </cell>
          <cell r="D161" t="str">
            <v>FORNECIMENTO E COLOCAÇÃO DE TERMINAL DE COMPRESSÃO PARA CABO DE 50mm² REF.: TEL-5150 DA TERMOTÉCNICA OU EQUIVALENTE TECNICO</v>
          </cell>
          <cell r="E161" t="str">
            <v>PÇ</v>
          </cell>
          <cell r="F161">
            <v>12</v>
          </cell>
          <cell r="G161">
            <v>26.36</v>
          </cell>
          <cell r="H161">
            <v>32.950000000000003</v>
          </cell>
          <cell r="I161">
            <v>395.4</v>
          </cell>
          <cell r="J161">
            <v>0.25</v>
          </cell>
        </row>
        <row r="162">
          <cell r="A162" t="str">
            <v>4.3.18</v>
          </cell>
          <cell r="B162" t="str">
            <v>COMPS30073</v>
          </cell>
          <cell r="C162" t="str">
            <v>COMPOSIÇÃO</v>
          </cell>
          <cell r="D162" t="str">
            <v>FORNECIMENTO DE COLOCAÇÃO DE PARAFUSO AÇO INOX, φ1/4" REF.: TEL-5329 DA TERMOTÉCNICA OU EQUIVALENTE TECNICO</v>
          </cell>
          <cell r="E162" t="str">
            <v>PÇ</v>
          </cell>
          <cell r="F162">
            <v>6</v>
          </cell>
          <cell r="G162">
            <v>0.51</v>
          </cell>
          <cell r="H162">
            <v>0.64</v>
          </cell>
          <cell r="I162">
            <v>3.84</v>
          </cell>
          <cell r="J162">
            <v>0.25</v>
          </cell>
        </row>
        <row r="163">
          <cell r="A163" t="str">
            <v>4.3.19</v>
          </cell>
          <cell r="B163" t="str">
            <v>COMPS30074</v>
          </cell>
          <cell r="C163" t="str">
            <v>COMPOSIÇÃO</v>
          </cell>
          <cell r="D163" t="str">
            <v>FORNECIMENTO E COLOCAÇÃO DE PORCA AÇO INOX, φ1/4" REF.: TEL-5314 DA TERMOTÉCNICA OU EQUIVALENTE TECNICO</v>
          </cell>
          <cell r="E163" t="str">
            <v>PÇ</v>
          </cell>
          <cell r="F163">
            <v>6</v>
          </cell>
          <cell r="G163">
            <v>0.33999999999999997</v>
          </cell>
          <cell r="H163">
            <v>0.43</v>
          </cell>
          <cell r="I163">
            <v>2.58</v>
          </cell>
          <cell r="J163">
            <v>0.25</v>
          </cell>
        </row>
        <row r="164">
          <cell r="A164" t="str">
            <v>4.3.20</v>
          </cell>
          <cell r="B164" t="str">
            <v>COMPS30075</v>
          </cell>
          <cell r="C164" t="str">
            <v>COMPOSIÇÃO</v>
          </cell>
          <cell r="D164" t="str">
            <v>FORNECIMENTO E COLOCAÇÃO DE ARRUELA LISA AÇO INOX, φ1/4" REF.: TEL-5303 DA TERMOTÉCNICA OU EQUIVALENTE TECNICO</v>
          </cell>
          <cell r="E164" t="str">
            <v>PÇ</v>
          </cell>
          <cell r="F164">
            <v>6</v>
          </cell>
          <cell r="G164">
            <v>0.43000000000000005</v>
          </cell>
          <cell r="H164">
            <v>0.54</v>
          </cell>
          <cell r="I164">
            <v>3.24</v>
          </cell>
          <cell r="J164">
            <v>0.25</v>
          </cell>
        </row>
        <row r="165">
          <cell r="A165" t="str">
            <v>4.3.21</v>
          </cell>
          <cell r="B165" t="str">
            <v>COMPS30076</v>
          </cell>
          <cell r="C165" t="str">
            <v>COMPOSIÇÃO</v>
          </cell>
          <cell r="D165" t="str">
            <v>FORNECIMENTO E INSTALAÇÃO DE FIXADOR UNIVERSAL DE CABOS REF.: TEL-5019 DA TERMOTÉCNICA OU EQUIVALENTE TECNICO</v>
          </cell>
          <cell r="E165" t="str">
            <v>PÇ</v>
          </cell>
          <cell r="F165">
            <v>60</v>
          </cell>
          <cell r="G165">
            <v>7.72</v>
          </cell>
          <cell r="H165">
            <v>9.65</v>
          </cell>
          <cell r="I165">
            <v>579</v>
          </cell>
          <cell r="J165">
            <v>0.25</v>
          </cell>
        </row>
        <row r="166">
          <cell r="A166" t="str">
            <v>4.3.22</v>
          </cell>
          <cell r="B166" t="str">
            <v>COMPS30077</v>
          </cell>
          <cell r="C166" t="str">
            <v>COMPOSIÇÃO</v>
          </cell>
          <cell r="D166" t="str">
            <v>FORNECIMENTO E COLOCAÇÃO DE MOLDE TIPO HCL 5/8. 50-5 PARA SOLDA EXOTÉRMICA REF.: TEL-95611 DA TERMOTÉCNICA OU EQUIVALENTE TECNICO</v>
          </cell>
          <cell r="E166" t="str">
            <v>PÇ</v>
          </cell>
          <cell r="F166">
            <v>1</v>
          </cell>
          <cell r="G166">
            <v>218.01000000000002</v>
          </cell>
          <cell r="H166">
            <v>272.51</v>
          </cell>
          <cell r="I166">
            <v>272.51</v>
          </cell>
          <cell r="J166">
            <v>0.25</v>
          </cell>
        </row>
        <row r="167">
          <cell r="A167" t="str">
            <v>4.3.23</v>
          </cell>
          <cell r="B167" t="str">
            <v>COMPS30078</v>
          </cell>
          <cell r="C167" t="str">
            <v>COMPOSIÇÃO</v>
          </cell>
          <cell r="D167" t="str">
            <v>FORNECIMENTO E COLOCAÇÃO DE CARTUCHO 115 PARA SOLDA EXOTÉRMICA REF.: TEL-99115 DA TERMOTÉCNICA OU EQUIVALENTE TECNICO</v>
          </cell>
          <cell r="E167" t="str">
            <v>PÇ</v>
          </cell>
          <cell r="F167">
            <v>1</v>
          </cell>
          <cell r="G167">
            <v>17.77</v>
          </cell>
          <cell r="H167">
            <v>22.21</v>
          </cell>
          <cell r="I167">
            <v>22.21</v>
          </cell>
          <cell r="J167">
            <v>0.25</v>
          </cell>
        </row>
        <row r="168">
          <cell r="A168" t="str">
            <v>4.3.24</v>
          </cell>
          <cell r="B168" t="str">
            <v>COTIS30068</v>
          </cell>
          <cell r="C168" t="str">
            <v>COTAÇÃO</v>
          </cell>
          <cell r="D168" t="str">
            <v>FORNECIMENTO DE ALICATE Z-201 PARA SOLDA EXOTÉRMICA REF.: TEL-98201 DA TERMOTÉCNICA OU EQUIVALENTE TECNICO</v>
          </cell>
          <cell r="E168" t="str">
            <v>PÇ</v>
          </cell>
          <cell r="F168">
            <v>1</v>
          </cell>
          <cell r="G168">
            <v>50.504918290280564</v>
          </cell>
          <cell r="H168">
            <v>58.99</v>
          </cell>
          <cell r="I168">
            <v>58.99</v>
          </cell>
          <cell r="J168">
            <v>0.16800000000000001</v>
          </cell>
        </row>
        <row r="169">
          <cell r="A169" t="str">
            <v>4.3.25</v>
          </cell>
          <cell r="B169" t="str">
            <v>COMPS30079</v>
          </cell>
          <cell r="C169" t="str">
            <v>COMPOSIÇÃO</v>
          </cell>
          <cell r="D169" t="str">
            <v>FORNECIMENTO E COLOCAÇÃO DE BUCHA DE NYLON Nº08 REF.: TEL-5308 DA TERMOTÉCNICA OU EQUIVALENTE TECNICO</v>
          </cell>
          <cell r="E169" t="str">
            <v>PÇ</v>
          </cell>
          <cell r="F169">
            <v>6</v>
          </cell>
          <cell r="G169">
            <v>2.91</v>
          </cell>
          <cell r="H169">
            <v>3.64</v>
          </cell>
          <cell r="I169">
            <v>21.84</v>
          </cell>
          <cell r="J169">
            <v>0.25</v>
          </cell>
        </row>
        <row r="170">
          <cell r="A170" t="str">
            <v>4.3.26</v>
          </cell>
          <cell r="B170" t="str">
            <v>COMPS30080</v>
          </cell>
          <cell r="C170" t="str">
            <v>COMPOSIÇÃO</v>
          </cell>
          <cell r="D170" t="str">
            <v>FORNECIMENTO E COLOCAÇÃO DE ABRAÇADEIRA METÁLICA, COM ARRUELA INOX PRESSÃO REF.: TEL-5311 DA TERMOTÉCNICA OU EQUIVALENTE TECNICO</v>
          </cell>
          <cell r="E170" t="str">
            <v>PÇ</v>
          </cell>
          <cell r="F170">
            <v>6</v>
          </cell>
          <cell r="G170">
            <v>3.38</v>
          </cell>
          <cell r="H170">
            <v>4.2300000000000004</v>
          </cell>
          <cell r="I170">
            <v>25.38</v>
          </cell>
          <cell r="J170">
            <v>0.25</v>
          </cell>
        </row>
        <row r="171">
          <cell r="A171" t="str">
            <v>4.3.27</v>
          </cell>
          <cell r="B171" t="str">
            <v>COMPS30081</v>
          </cell>
          <cell r="C171" t="str">
            <v>COMPOSIÇÃO</v>
          </cell>
          <cell r="D171" t="str">
            <v>FORNECIMENTO E COLOCAÇÃO DE PARAFUSO SEXTAVADO EM AÇO INOX ROSCA SOBERBA M6 X 45mm REF.: TEL-5346 DA TERMOTÉCNICA OU EQUIVALENTE TECNICO</v>
          </cell>
          <cell r="E171" t="str">
            <v>PÇ</v>
          </cell>
          <cell r="F171">
            <v>6</v>
          </cell>
          <cell r="G171">
            <v>0.70000000000000007</v>
          </cell>
          <cell r="H171">
            <v>0.88</v>
          </cell>
          <cell r="I171">
            <v>5.28</v>
          </cell>
          <cell r="J171">
            <v>0.25</v>
          </cell>
        </row>
        <row r="172">
          <cell r="A172" t="str">
            <v>4.3.28</v>
          </cell>
          <cell r="B172" t="str">
            <v>COMPS30058</v>
          </cell>
          <cell r="C172" t="str">
            <v>COMPOSIÇÃO</v>
          </cell>
          <cell r="D172" t="str">
            <v>ESCAVAÇÃO E REATERRO DE VALAS PARA COLOCAÇÃO DA MALHA DE ATERRAMENTO</v>
          </cell>
          <cell r="E172" t="str">
            <v>M3</v>
          </cell>
          <cell r="F172">
            <v>15</v>
          </cell>
          <cell r="G172">
            <v>48.43</v>
          </cell>
          <cell r="H172">
            <v>60.54</v>
          </cell>
          <cell r="I172">
            <v>908.1</v>
          </cell>
          <cell r="J172">
            <v>0.25</v>
          </cell>
        </row>
        <row r="173">
          <cell r="A173">
            <v>0</v>
          </cell>
          <cell r="B173">
            <v>0</v>
          </cell>
          <cell r="C173">
            <v>0</v>
          </cell>
          <cell r="D173">
            <v>0</v>
          </cell>
          <cell r="E173">
            <v>0</v>
          </cell>
          <cell r="F173">
            <v>0</v>
          </cell>
          <cell r="G173">
            <v>0</v>
          </cell>
          <cell r="H173">
            <v>0</v>
          </cell>
          <cell r="I173">
            <v>0</v>
          </cell>
          <cell r="J17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
      <sheetName val="MODELO"/>
      <sheetName val="R.C."/>
      <sheetName val="MOBILIZAÇÃO "/>
      <sheetName val="L.I.COT."/>
      <sheetName val="L.I.SINAPI"/>
      <sheetName val="L.S.SINAPI"/>
      <sheetName val="L.S.SICRO 2"/>
      <sheetName val="L.I.SICRO EQ"/>
      <sheetName val="L.I.SICRO MAT"/>
      <sheetName val="L.I.SICRO MO"/>
      <sheetName val="L.S.EMLURB"/>
      <sheetName val="L.S.COHAB"/>
      <sheetName val="L.S.COMPESA"/>
      <sheetName val="CCOMPS33101"/>
      <sheetName val="CCOMPS33102"/>
      <sheetName val="CCOMPS33103"/>
      <sheetName val="CCOMPS33104"/>
      <sheetName val="CCOMPS33105"/>
      <sheetName val="CCOMPS33106"/>
      <sheetName val="CCOMPS33107"/>
      <sheetName val="CCOMPS33108"/>
      <sheetName val="CCOMPS33109"/>
      <sheetName val="CCOMPS33110"/>
      <sheetName val="CCOMPS33111"/>
      <sheetName val="CCOMPS33112"/>
      <sheetName val="CCOMPS33113"/>
      <sheetName val="CCOMPS33114"/>
      <sheetName val="CCOMPS33115"/>
      <sheetName val="CCOMPS36001"/>
      <sheetName val="CCOMPS36002"/>
      <sheetName val="CCOMPS36003"/>
      <sheetName val="CCOMPS36004"/>
      <sheetName val="CCOMPS36005"/>
      <sheetName val="CCOMPS36006"/>
      <sheetName val="CCOMPS36007"/>
      <sheetName val="CCOMPS36008"/>
      <sheetName val="CCOMPS36009"/>
      <sheetName val="CCOMPS36010"/>
      <sheetName val="CCOMPS36011"/>
      <sheetName val="CCOMPS36012"/>
      <sheetName val="CCOMPS36013"/>
      <sheetName val="CCOMPS36014"/>
      <sheetName val="CCOMPS36015"/>
      <sheetName val="CCOMPS36016"/>
      <sheetName val="CCOMPS36017"/>
      <sheetName val="CCOMPS36018"/>
      <sheetName val="CCOMPS36019"/>
      <sheetName val="CCOMPS36020"/>
      <sheetName val="L.S.EML..."/>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 COTAÇÃO</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v>0</v>
          </cell>
          <cell r="B11">
            <v>0</v>
          </cell>
          <cell r="C11">
            <v>0</v>
          </cell>
          <cell r="D11">
            <v>0</v>
          </cell>
          <cell r="E11">
            <v>0</v>
          </cell>
          <cell r="F11">
            <v>0</v>
          </cell>
          <cell r="G11">
            <v>0</v>
          </cell>
          <cell r="H11">
            <v>0</v>
          </cell>
          <cell r="I11">
            <v>0</v>
          </cell>
          <cell r="J11">
            <v>0</v>
          </cell>
        </row>
        <row r="12">
          <cell r="A12" t="str">
            <v>5.0</v>
          </cell>
          <cell r="B12">
            <v>0</v>
          </cell>
          <cell r="C12">
            <v>0</v>
          </cell>
          <cell r="D12" t="str">
            <v>CFTV</v>
          </cell>
          <cell r="E12" t="str">
            <v/>
          </cell>
          <cell r="F12">
            <v>0</v>
          </cell>
          <cell r="G12" t="str">
            <v/>
          </cell>
          <cell r="H12">
            <v>0</v>
          </cell>
          <cell r="I12">
            <v>33425.49</v>
          </cell>
          <cell r="J12">
            <v>0</v>
          </cell>
        </row>
        <row r="13">
          <cell r="A13">
            <v>0</v>
          </cell>
          <cell r="B13">
            <v>0</v>
          </cell>
          <cell r="C13">
            <v>0</v>
          </cell>
          <cell r="D13" t="str">
            <v/>
          </cell>
          <cell r="E13" t="str">
            <v/>
          </cell>
          <cell r="F13">
            <v>0</v>
          </cell>
          <cell r="G13" t="str">
            <v/>
          </cell>
          <cell r="H13" t="str">
            <v/>
          </cell>
          <cell r="I13">
            <v>0</v>
          </cell>
          <cell r="J13">
            <v>0</v>
          </cell>
        </row>
        <row r="14">
          <cell r="A14" t="str">
            <v>5.1</v>
          </cell>
          <cell r="B14">
            <v>0</v>
          </cell>
          <cell r="C14">
            <v>0</v>
          </cell>
          <cell r="D14" t="str">
            <v>CAIXAS</v>
          </cell>
          <cell r="E14" t="str">
            <v/>
          </cell>
          <cell r="F14">
            <v>0</v>
          </cell>
          <cell r="G14" t="str">
            <v/>
          </cell>
          <cell r="H14" t="str">
            <v/>
          </cell>
          <cell r="I14">
            <v>0</v>
          </cell>
          <cell r="J14">
            <v>0</v>
          </cell>
        </row>
        <row r="15">
          <cell r="A15" t="str">
            <v>5.1.1</v>
          </cell>
          <cell r="B15" t="str">
            <v>73861/014</v>
          </cell>
          <cell r="C15" t="str">
            <v>SINAPI SERVIÇO</v>
          </cell>
          <cell r="D15" t="str">
            <v>CONDULETE 3/4" EM LIGA DE ALUMÍNIO FUNDIDO TIPO "LL" - FORNECIMENTO E    INSTALACAO</v>
          </cell>
          <cell r="E15" t="str">
            <v>UN</v>
          </cell>
          <cell r="F15">
            <v>10</v>
          </cell>
          <cell r="G15">
            <v>13.89</v>
          </cell>
          <cell r="H15">
            <v>17.36</v>
          </cell>
          <cell r="I15">
            <v>173.6</v>
          </cell>
          <cell r="J15">
            <v>0.25</v>
          </cell>
        </row>
        <row r="16">
          <cell r="A16" t="str">
            <v>5.1.2</v>
          </cell>
          <cell r="B16">
            <v>83451</v>
          </cell>
          <cell r="C16" t="str">
            <v>SINAPI SERVIÇO</v>
          </cell>
          <cell r="D16" t="str">
            <v>CONDULETE EM LIGA DE ALUMINIO TIPO "LR" 3/4" - FORNECIMENTO E INSTALAC   AO</v>
          </cell>
          <cell r="E16" t="str">
            <v>UN</v>
          </cell>
          <cell r="F16">
            <v>1</v>
          </cell>
          <cell r="G16">
            <v>16.54</v>
          </cell>
          <cell r="H16">
            <v>20.68</v>
          </cell>
          <cell r="I16">
            <v>20.68</v>
          </cell>
          <cell r="J16">
            <v>0.25</v>
          </cell>
        </row>
        <row r="17">
          <cell r="A17" t="str">
            <v>5.1.3</v>
          </cell>
          <cell r="B17" t="str">
            <v>73861/020</v>
          </cell>
          <cell r="C17" t="str">
            <v>SINAPI SERVIÇO</v>
          </cell>
          <cell r="D17" t="str">
            <v>CONDULETE 3/4" EM LIGA DE ALUMÍNIO FUNDIDO TIPO "T" - FORNECIMENTO E I   NSTALACAO</v>
          </cell>
          <cell r="E17" t="str">
            <v>UN</v>
          </cell>
          <cell r="F17">
            <v>4</v>
          </cell>
          <cell r="G17">
            <v>15.37</v>
          </cell>
          <cell r="H17">
            <v>19.21</v>
          </cell>
          <cell r="I17">
            <v>76.84</v>
          </cell>
          <cell r="J17">
            <v>0.25</v>
          </cell>
        </row>
        <row r="18">
          <cell r="A18" t="str">
            <v>5.1.4</v>
          </cell>
          <cell r="B18" t="str">
            <v>73861/008</v>
          </cell>
          <cell r="C18" t="str">
            <v>SINAPI SERVIÇO</v>
          </cell>
          <cell r="D18" t="str">
            <v>CONDULETE 3/4" EM LIGA DE ALUMÍNIO FUNDIDO TIPO "E" - FORNECIMENTO E I   NSTALACAO</v>
          </cell>
          <cell r="E18" t="str">
            <v>UN</v>
          </cell>
          <cell r="F18">
            <v>1</v>
          </cell>
          <cell r="G18">
            <v>12.39</v>
          </cell>
          <cell r="H18">
            <v>15.49</v>
          </cell>
          <cell r="I18">
            <v>15.49</v>
          </cell>
          <cell r="J18">
            <v>0.25</v>
          </cell>
        </row>
        <row r="19">
          <cell r="A19" t="str">
            <v>5.1.5</v>
          </cell>
          <cell r="B19" t="str">
            <v>73861/005</v>
          </cell>
          <cell r="C19" t="str">
            <v>SINAPI SERVIÇO</v>
          </cell>
          <cell r="D19" t="str">
            <v>CONDULETE 3/4" EM LIGA DE ALUMÍNIO FUNDIDO TIPO "C" - FORNECIMENTO E    INSTALACAO</v>
          </cell>
          <cell r="E19" t="str">
            <v>UN</v>
          </cell>
          <cell r="F19">
            <v>1</v>
          </cell>
          <cell r="G19">
            <v>13.84</v>
          </cell>
          <cell r="H19">
            <v>17.3</v>
          </cell>
          <cell r="I19">
            <v>17.3</v>
          </cell>
          <cell r="J19">
            <v>0.25</v>
          </cell>
        </row>
        <row r="20">
          <cell r="A20">
            <v>0</v>
          </cell>
          <cell r="B20">
            <v>0</v>
          </cell>
          <cell r="C20">
            <v>0</v>
          </cell>
          <cell r="D20" t="str">
            <v/>
          </cell>
          <cell r="E20" t="str">
            <v/>
          </cell>
          <cell r="F20">
            <v>0</v>
          </cell>
          <cell r="G20" t="str">
            <v/>
          </cell>
          <cell r="H20" t="str">
            <v/>
          </cell>
          <cell r="I20">
            <v>0</v>
          </cell>
          <cell r="J20">
            <v>0</v>
          </cell>
        </row>
        <row r="21">
          <cell r="A21" t="str">
            <v>5.2</v>
          </cell>
          <cell r="B21">
            <v>0</v>
          </cell>
          <cell r="C21">
            <v>0</v>
          </cell>
          <cell r="D21" t="str">
            <v>ELETRODUTOS</v>
          </cell>
          <cell r="E21" t="str">
            <v/>
          </cell>
          <cell r="F21">
            <v>0</v>
          </cell>
          <cell r="G21" t="str">
            <v/>
          </cell>
          <cell r="H21" t="str">
            <v/>
          </cell>
          <cell r="I21">
            <v>0</v>
          </cell>
          <cell r="J21">
            <v>0</v>
          </cell>
        </row>
        <row r="22">
          <cell r="A22" t="str">
            <v>5.2.1</v>
          </cell>
          <cell r="B22" t="str">
            <v>COMPS33101</v>
          </cell>
          <cell r="C22" t="str">
            <v>COMPOSIÇÃO</v>
          </cell>
          <cell r="D22" t="str">
            <v>FORNECIMENTO E INSTALAÇÃO DE ELETRODUTO  LEVE, Ø3/4" , GALVANIZADO A FOGO; ROSCADO NAS DUAS EXTREMIDADES CONFORME NORMA NBR NM ISO 7-1; FABRICANTE: APOLO OU EQUIVALENTE TECNICO; INCLUSIVE CONEXÕES</v>
          </cell>
          <cell r="E22" t="str">
            <v>UND</v>
          </cell>
          <cell r="F22">
            <v>18</v>
          </cell>
          <cell r="G22">
            <v>58.26</v>
          </cell>
          <cell r="H22">
            <v>72.83</v>
          </cell>
          <cell r="I22">
            <v>1310.94</v>
          </cell>
          <cell r="J22">
            <v>0.25</v>
          </cell>
        </row>
        <row r="23">
          <cell r="A23" t="str">
            <v>5.2.2</v>
          </cell>
          <cell r="B23" t="str">
            <v>COMPS33102</v>
          </cell>
          <cell r="C23" t="str">
            <v>COMPOSIÇÃO</v>
          </cell>
          <cell r="D23" t="str">
            <v>FORNECIMENTO E INSTALAÇÃO DE ELETRODUTO  LEVE, Ø1" , GALVANIZADO A FOGO; ROSCADO NAS DUAS EXTREMIDADES CONFORME NORMA NBR NM ISO 7-1; FABRICANTE: APOLO OU EQUIVALENTE TECNICO; INCLUSIVE CONEXÕES</v>
          </cell>
          <cell r="E23" t="str">
            <v>UND</v>
          </cell>
          <cell r="F23">
            <v>4</v>
          </cell>
          <cell r="G23">
            <v>61.35</v>
          </cell>
          <cell r="H23">
            <v>76.69</v>
          </cell>
          <cell r="I23">
            <v>306.76</v>
          </cell>
          <cell r="J23">
            <v>0.25</v>
          </cell>
        </row>
        <row r="24">
          <cell r="A24" t="str">
            <v>5.2.3</v>
          </cell>
          <cell r="B24" t="str">
            <v>COMPS33103</v>
          </cell>
          <cell r="C24" t="str">
            <v>COMPOSIÇÃO</v>
          </cell>
          <cell r="D24" t="str">
            <v>FORNECIMENTO E INSTALAÇÃO DE ELETRODUTO  LEVE, Ø1.1/4" , GALVANIZADO A FOGO; ROSCADO NAS DUAS EXTREMIDADES CONFORME NORMA NBR NM ISO 7-1; FABRICANTE: APOLO OU EQUIVALENTE TECNICO; INCLUSIVE CONEXÕES</v>
          </cell>
          <cell r="E24" t="str">
            <v>UND</v>
          </cell>
          <cell r="F24">
            <v>3.8566666666666669</v>
          </cell>
          <cell r="G24">
            <v>71.610000000000014</v>
          </cell>
          <cell r="H24">
            <v>89.51</v>
          </cell>
          <cell r="I24">
            <v>345.21</v>
          </cell>
          <cell r="J24">
            <v>0.25</v>
          </cell>
        </row>
        <row r="25">
          <cell r="A25" t="str">
            <v>5.2.4</v>
          </cell>
          <cell r="B25" t="str">
            <v>COMPS33104</v>
          </cell>
          <cell r="C25" t="str">
            <v>COMPOSIÇÃO</v>
          </cell>
          <cell r="D25" t="str">
            <v>FORNECIMENTO E INSTALAÇÃO DE ABRAÇADEIRA METÁLICA, TIPO D C/ CUNHA PARA Ø3/4"; FABRICANTE: MAXTIL OU EQUIVALENTE TECNICO - REF: MAX AA.TDC. OU EQUIVALENTE TECNICO</v>
          </cell>
          <cell r="E25" t="str">
            <v>UND</v>
          </cell>
          <cell r="F25">
            <v>34</v>
          </cell>
          <cell r="G25">
            <v>3.28</v>
          </cell>
          <cell r="H25">
            <v>4.0999999999999996</v>
          </cell>
          <cell r="I25">
            <v>139.4</v>
          </cell>
          <cell r="J25">
            <v>0.25</v>
          </cell>
        </row>
        <row r="26">
          <cell r="A26" t="str">
            <v>5.2.5</v>
          </cell>
          <cell r="B26" t="str">
            <v>COMPS33105</v>
          </cell>
          <cell r="C26" t="str">
            <v>COMPOSIÇÃO</v>
          </cell>
          <cell r="D26" t="str">
            <v>FORNECIMENTO E INSTALAÇÃO DE ABRAÇADEIRA METÁLICA, TIPO D C/ CUNHA PARA Ø1"; FABRICANTE: MAXTIL OU EQUIVALENTE TECNICO - REF: MAX AA.TDC.</v>
          </cell>
          <cell r="E26" t="str">
            <v>UND</v>
          </cell>
          <cell r="F26">
            <v>8</v>
          </cell>
          <cell r="G26">
            <v>4.3</v>
          </cell>
          <cell r="H26">
            <v>5.38</v>
          </cell>
          <cell r="I26">
            <v>43.04</v>
          </cell>
          <cell r="J26">
            <v>0.25</v>
          </cell>
        </row>
        <row r="27">
          <cell r="A27" t="str">
            <v>5.2.6</v>
          </cell>
          <cell r="B27" t="str">
            <v>COMPS33106</v>
          </cell>
          <cell r="C27" t="str">
            <v>COMPOSIÇÃO</v>
          </cell>
          <cell r="D27" t="str">
            <v>FORNECIMENTO E INSTALAÇÃO DE ABRAÇADEIRA METÁLICA, TIPO D C/ CUNHA PARA Ø1.1/2"; FABRICANTE: MAXTIL OU EQUIVALENTE TECNICO - REF: MAX AA.TDC.</v>
          </cell>
          <cell r="E27" t="str">
            <v>UND</v>
          </cell>
          <cell r="F27">
            <v>9</v>
          </cell>
          <cell r="G27">
            <v>3.96</v>
          </cell>
          <cell r="H27">
            <v>4.95</v>
          </cell>
          <cell r="I27">
            <v>44.55</v>
          </cell>
          <cell r="J27">
            <v>0.25</v>
          </cell>
        </row>
        <row r="28">
          <cell r="A28">
            <v>0</v>
          </cell>
          <cell r="B28">
            <v>0</v>
          </cell>
          <cell r="C28">
            <v>0</v>
          </cell>
          <cell r="D28" t="str">
            <v/>
          </cell>
          <cell r="E28" t="str">
            <v/>
          </cell>
          <cell r="F28">
            <v>0</v>
          </cell>
          <cell r="G28" t="str">
            <v/>
          </cell>
          <cell r="H28" t="str">
            <v/>
          </cell>
          <cell r="I28">
            <v>0</v>
          </cell>
          <cell r="J28">
            <v>0</v>
          </cell>
        </row>
        <row r="29">
          <cell r="A29" t="str">
            <v>5.3</v>
          </cell>
          <cell r="B29">
            <v>0</v>
          </cell>
          <cell r="C29">
            <v>0</v>
          </cell>
          <cell r="D29" t="str">
            <v>FIXAÇÃO</v>
          </cell>
          <cell r="E29" t="str">
            <v/>
          </cell>
          <cell r="F29">
            <v>0</v>
          </cell>
          <cell r="G29" t="str">
            <v/>
          </cell>
          <cell r="H29" t="str">
            <v/>
          </cell>
          <cell r="I29">
            <v>0</v>
          </cell>
          <cell r="J29">
            <v>0</v>
          </cell>
        </row>
        <row r="30">
          <cell r="A30" t="str">
            <v>5.3.1</v>
          </cell>
          <cell r="B30" t="str">
            <v>COMPS33107</v>
          </cell>
          <cell r="C30" t="str">
            <v>COMPOSIÇÃO</v>
          </cell>
          <cell r="D30" t="str">
            <v>FORNECIMENTO E INSTALAÇÃO DE PARAFUSO CABEÇA LENTILHA COM FENDA Ø1/4" X 5/8";   FABRICANTE: MAXTIL OU EQUIVALENTE TÉCNICO. REF: MAX AF.PCL.</v>
          </cell>
          <cell r="E30" t="str">
            <v>UND</v>
          </cell>
          <cell r="F30">
            <v>55</v>
          </cell>
          <cell r="G30">
            <v>2.82</v>
          </cell>
          <cell r="H30">
            <v>3.53</v>
          </cell>
          <cell r="I30">
            <v>194.15</v>
          </cell>
          <cell r="J30">
            <v>0.25</v>
          </cell>
        </row>
        <row r="31">
          <cell r="A31" t="str">
            <v>5.3.2</v>
          </cell>
          <cell r="B31" t="str">
            <v>COMPS33108</v>
          </cell>
          <cell r="C31" t="str">
            <v>COMPOSIÇÃO</v>
          </cell>
          <cell r="D31" t="str">
            <v>FORNECIMENTO E INSTALAÇÃO DE PORCA SEXTAVADO Ø1/4"; FABRICANTE: MAXTIL OU EQUIVALENTE TÉCNICO. REF: MAX AF.PS.</v>
          </cell>
          <cell r="E31" t="str">
            <v>UND</v>
          </cell>
          <cell r="F31">
            <v>55</v>
          </cell>
          <cell r="G31">
            <v>0.2</v>
          </cell>
          <cell r="H31">
            <v>0.25</v>
          </cell>
          <cell r="I31">
            <v>13.75</v>
          </cell>
          <cell r="J31">
            <v>0.25</v>
          </cell>
        </row>
        <row r="32">
          <cell r="A32" t="str">
            <v>5.3.3</v>
          </cell>
          <cell r="B32" t="str">
            <v>COMPS33109</v>
          </cell>
          <cell r="C32" t="str">
            <v>COMPOSIÇÃO</v>
          </cell>
          <cell r="D32" t="str">
            <v>FORNECIMENTO E INSTALAÇÃO DE ARRUELA LISA Ø1/4 ";  FABRICANTE: MAXTIL OU EQUIVALENTE TÉCNICO. REF: MAX AF.AL.</v>
          </cell>
          <cell r="E32" t="str">
            <v>UND</v>
          </cell>
          <cell r="F32">
            <v>55</v>
          </cell>
          <cell r="G32">
            <v>0.29000000000000004</v>
          </cell>
          <cell r="H32">
            <v>0.36</v>
          </cell>
          <cell r="I32">
            <v>19.8</v>
          </cell>
          <cell r="J32">
            <v>0.25</v>
          </cell>
        </row>
        <row r="33">
          <cell r="A33">
            <v>0</v>
          </cell>
          <cell r="B33">
            <v>0</v>
          </cell>
          <cell r="C33">
            <v>0</v>
          </cell>
          <cell r="D33" t="str">
            <v/>
          </cell>
          <cell r="E33" t="str">
            <v/>
          </cell>
          <cell r="F33">
            <v>0</v>
          </cell>
          <cell r="G33" t="str">
            <v/>
          </cell>
          <cell r="H33" t="str">
            <v/>
          </cell>
          <cell r="I33">
            <v>0</v>
          </cell>
          <cell r="J33">
            <v>0</v>
          </cell>
        </row>
        <row r="34">
          <cell r="A34" t="str">
            <v>5.4</v>
          </cell>
          <cell r="B34">
            <v>0</v>
          </cell>
          <cell r="C34">
            <v>0</v>
          </cell>
          <cell r="D34" t="str">
            <v>CABOS</v>
          </cell>
          <cell r="E34" t="str">
            <v/>
          </cell>
          <cell r="F34">
            <v>0</v>
          </cell>
          <cell r="G34" t="str">
            <v/>
          </cell>
          <cell r="H34" t="str">
            <v/>
          </cell>
          <cell r="I34">
            <v>0</v>
          </cell>
          <cell r="J34">
            <v>0</v>
          </cell>
        </row>
        <row r="35">
          <cell r="A35" t="str">
            <v>5.4.1</v>
          </cell>
          <cell r="B35" t="str">
            <v>COMPS33110</v>
          </cell>
          <cell r="C35" t="str">
            <v>COMPOSIÇÃO</v>
          </cell>
          <cell r="D35" t="str">
            <v>FORNECIMENTO E INSTALAÇÃO DE CABO UTP, CATEG 6, COR AZUL, FAST-LAN,CAIXA COM 305 METROS FAB.; FURUKAWA OU EQUIVALENTE TÉCNICO.</v>
          </cell>
          <cell r="E35" t="str">
            <v>M</v>
          </cell>
          <cell r="F35">
            <v>86</v>
          </cell>
          <cell r="G35">
            <v>6.81</v>
          </cell>
          <cell r="H35">
            <v>8.51</v>
          </cell>
          <cell r="I35">
            <v>731.86</v>
          </cell>
          <cell r="J35">
            <v>0.25</v>
          </cell>
        </row>
        <row r="36">
          <cell r="A36">
            <v>0</v>
          </cell>
          <cell r="B36">
            <v>0</v>
          </cell>
          <cell r="C36">
            <v>0</v>
          </cell>
          <cell r="D36" t="str">
            <v/>
          </cell>
          <cell r="E36" t="str">
            <v/>
          </cell>
          <cell r="F36">
            <v>0</v>
          </cell>
          <cell r="G36" t="str">
            <v/>
          </cell>
          <cell r="H36" t="str">
            <v/>
          </cell>
          <cell r="I36">
            <v>0</v>
          </cell>
          <cell r="J36">
            <v>0</v>
          </cell>
        </row>
        <row r="37">
          <cell r="A37" t="str">
            <v>5.5</v>
          </cell>
          <cell r="B37">
            <v>0</v>
          </cell>
          <cell r="C37">
            <v>0</v>
          </cell>
          <cell r="D37" t="str">
            <v>CAMERAS</v>
          </cell>
          <cell r="E37" t="str">
            <v/>
          </cell>
          <cell r="F37">
            <v>0</v>
          </cell>
          <cell r="G37" t="str">
            <v/>
          </cell>
          <cell r="H37" t="str">
            <v/>
          </cell>
          <cell r="I37">
            <v>0</v>
          </cell>
          <cell r="J37">
            <v>0</v>
          </cell>
        </row>
        <row r="38">
          <cell r="A38" t="str">
            <v>5.5.1</v>
          </cell>
          <cell r="B38" t="str">
            <v>COMPS33111</v>
          </cell>
          <cell r="C38" t="str">
            <v>COMPOSIÇÃO</v>
          </cell>
          <cell r="D38" t="str">
            <v>FORNECIMENTO E INSTALAÇÃO DE CÂMERA IP 3.0MP TIPO DOME - LENTE 2,8MM - POE - IR CUT  - MOD. THK-IDM30 - FABR. TECVOZ. OU EQUIVALENTE TÉCNICO.</v>
          </cell>
          <cell r="E38" t="str">
            <v>UND</v>
          </cell>
          <cell r="F38">
            <v>9</v>
          </cell>
          <cell r="G38">
            <v>1122.0999999999999</v>
          </cell>
          <cell r="H38">
            <v>1402.63</v>
          </cell>
          <cell r="I38">
            <v>12623.67</v>
          </cell>
          <cell r="J38">
            <v>0.25</v>
          </cell>
        </row>
        <row r="39">
          <cell r="A39" t="str">
            <v>5.5.2</v>
          </cell>
          <cell r="B39" t="str">
            <v>COMPS33113</v>
          </cell>
          <cell r="C39" t="str">
            <v>COMPOSIÇÃO</v>
          </cell>
          <cell r="D39" t="str">
            <v>FORNECIMENTO E INSTALAÇÃO DE CÂMERA SPEED DOME IP 2.0MP IP66-PTZ 20X16-3D DNR-D-WDR-BLC-ONVIF. OU EQUIVALENTE TÉCNICO.</v>
          </cell>
          <cell r="E39" t="str">
            <v>UND</v>
          </cell>
          <cell r="F39">
            <v>2</v>
          </cell>
          <cell r="G39">
            <v>5857.1500000000005</v>
          </cell>
          <cell r="H39">
            <v>7321.44</v>
          </cell>
          <cell r="I39">
            <v>14642.88</v>
          </cell>
          <cell r="J39">
            <v>0.25</v>
          </cell>
        </row>
        <row r="40">
          <cell r="A40" t="str">
            <v>5.5.3</v>
          </cell>
          <cell r="B40" t="str">
            <v>COMPS33114</v>
          </cell>
          <cell r="C40" t="str">
            <v>COMPOSIÇÃO</v>
          </cell>
          <cell r="D40" t="str">
            <v>FORNECIMENTO E INSTALAÇÃO DE PATCHVIEW - PATCH PANEL GERENSIAVEL 48 PORTAS ALTA DENSIDADE - CAT. 6 UTP - 1U.</v>
          </cell>
          <cell r="E40" t="str">
            <v>UND</v>
          </cell>
          <cell r="F40">
            <v>1</v>
          </cell>
          <cell r="G40">
            <v>1061.9000000000001</v>
          </cell>
          <cell r="H40">
            <v>1327.38</v>
          </cell>
          <cell r="I40">
            <v>1327.38</v>
          </cell>
          <cell r="J40">
            <v>0.25</v>
          </cell>
        </row>
        <row r="41">
          <cell r="A41">
            <v>0</v>
          </cell>
          <cell r="B41">
            <v>0</v>
          </cell>
          <cell r="C41">
            <v>0</v>
          </cell>
          <cell r="D41" t="str">
            <v/>
          </cell>
          <cell r="E41" t="str">
            <v/>
          </cell>
          <cell r="F41">
            <v>0</v>
          </cell>
          <cell r="G41" t="str">
            <v/>
          </cell>
          <cell r="H41" t="str">
            <v/>
          </cell>
          <cell r="I41">
            <v>0</v>
          </cell>
          <cell r="J41">
            <v>0</v>
          </cell>
        </row>
        <row r="42">
          <cell r="A42" t="str">
            <v>5.6</v>
          </cell>
          <cell r="B42">
            <v>0</v>
          </cell>
          <cell r="C42">
            <v>0</v>
          </cell>
          <cell r="D42" t="str">
            <v>GRAVADOR</v>
          </cell>
          <cell r="E42" t="str">
            <v/>
          </cell>
          <cell r="F42">
            <v>0</v>
          </cell>
          <cell r="G42" t="str">
            <v/>
          </cell>
          <cell r="H42" t="str">
            <v/>
          </cell>
          <cell r="I42">
            <v>0</v>
          </cell>
          <cell r="J42">
            <v>0</v>
          </cell>
        </row>
        <row r="43">
          <cell r="A43" t="str">
            <v>5.6.1</v>
          </cell>
          <cell r="B43" t="str">
            <v>COMPS33115</v>
          </cell>
          <cell r="C43" t="str">
            <v>COMPOSIÇÃO</v>
          </cell>
          <cell r="D43" t="str">
            <v>FORNECIMENTO E INSTALAÇÃO DE GRAVADOR NVR 16CH IP - MULTI STREAMING-H.264 - HDMI/RS-485 - FABR. TECVOZ. OU EQUIVALENTE TÉCNICO.</v>
          </cell>
          <cell r="E43" t="str">
            <v>UND</v>
          </cell>
          <cell r="F43">
            <v>1</v>
          </cell>
          <cell r="G43">
            <v>1102.55</v>
          </cell>
          <cell r="H43">
            <v>1378.19</v>
          </cell>
          <cell r="I43">
            <v>1378.19</v>
          </cell>
          <cell r="J43">
            <v>0.25</v>
          </cell>
        </row>
        <row r="44">
          <cell r="A44">
            <v>0</v>
          </cell>
          <cell r="B44">
            <v>0</v>
          </cell>
          <cell r="C44">
            <v>0</v>
          </cell>
          <cell r="D44" t="str">
            <v/>
          </cell>
          <cell r="E44" t="str">
            <v/>
          </cell>
          <cell r="F44">
            <v>0</v>
          </cell>
          <cell r="G44" t="str">
            <v/>
          </cell>
          <cell r="H44" t="str">
            <v/>
          </cell>
          <cell r="I44">
            <v>0</v>
          </cell>
          <cell r="J44">
            <v>0</v>
          </cell>
        </row>
        <row r="45">
          <cell r="A45">
            <v>0</v>
          </cell>
          <cell r="B45">
            <v>0</v>
          </cell>
          <cell r="C45">
            <v>0</v>
          </cell>
          <cell r="D45" t="str">
            <v/>
          </cell>
          <cell r="E45" t="str">
            <v/>
          </cell>
          <cell r="F45">
            <v>0</v>
          </cell>
          <cell r="G45" t="str">
            <v/>
          </cell>
          <cell r="H45" t="str">
            <v/>
          </cell>
          <cell r="I45">
            <v>0</v>
          </cell>
          <cell r="J45">
            <v>0</v>
          </cell>
        </row>
        <row r="46">
          <cell r="A46" t="str">
            <v>6.0</v>
          </cell>
          <cell r="B46">
            <v>0</v>
          </cell>
          <cell r="C46">
            <v>0</v>
          </cell>
          <cell r="D46" t="str">
            <v>REDE DE TELEMÁTICA</v>
          </cell>
          <cell r="E46" t="str">
            <v/>
          </cell>
          <cell r="F46">
            <v>0</v>
          </cell>
          <cell r="G46" t="str">
            <v/>
          </cell>
          <cell r="H46">
            <v>0</v>
          </cell>
          <cell r="I46">
            <v>89568.6</v>
          </cell>
          <cell r="J46">
            <v>0</v>
          </cell>
        </row>
        <row r="47">
          <cell r="A47">
            <v>0</v>
          </cell>
          <cell r="B47">
            <v>0</v>
          </cell>
          <cell r="C47">
            <v>0</v>
          </cell>
          <cell r="D47" t="str">
            <v/>
          </cell>
          <cell r="E47" t="str">
            <v/>
          </cell>
          <cell r="F47">
            <v>0</v>
          </cell>
          <cell r="G47" t="str">
            <v/>
          </cell>
          <cell r="H47" t="str">
            <v/>
          </cell>
          <cell r="I47">
            <v>0</v>
          </cell>
          <cell r="J47">
            <v>0</v>
          </cell>
        </row>
        <row r="48">
          <cell r="A48" t="str">
            <v>6.1</v>
          </cell>
          <cell r="B48">
            <v>0</v>
          </cell>
          <cell r="C48">
            <v>0</v>
          </cell>
          <cell r="D48" t="str">
            <v>FIXAÇÃO</v>
          </cell>
          <cell r="E48" t="str">
            <v/>
          </cell>
          <cell r="F48">
            <v>0</v>
          </cell>
          <cell r="G48" t="str">
            <v/>
          </cell>
          <cell r="H48" t="str">
            <v/>
          </cell>
          <cell r="I48">
            <v>0</v>
          </cell>
          <cell r="J48">
            <v>0</v>
          </cell>
        </row>
        <row r="49">
          <cell r="A49" t="str">
            <v>6.1.1</v>
          </cell>
          <cell r="B49" t="str">
            <v>COMPS33109</v>
          </cell>
          <cell r="C49" t="str">
            <v>COMPOSIÇÃO</v>
          </cell>
          <cell r="D49" t="str">
            <v>FORNECIMENTO E INSTALAÇÃO DE ARRUELA LISA Ø1/4 ";  FABRICANTE: MAXTIL OU EQUIVALENTE TÉCNICO. REF: MAX AF.AL.</v>
          </cell>
          <cell r="E49" t="str">
            <v>UND</v>
          </cell>
          <cell r="F49">
            <v>522</v>
          </cell>
          <cell r="G49">
            <v>0.29000000000000004</v>
          </cell>
          <cell r="H49">
            <v>0.36</v>
          </cell>
          <cell r="I49">
            <v>187.92</v>
          </cell>
          <cell r="J49">
            <v>0.25</v>
          </cell>
        </row>
        <row r="50">
          <cell r="A50" t="str">
            <v>6.1.2</v>
          </cell>
          <cell r="B50" t="str">
            <v>COMPS33107</v>
          </cell>
          <cell r="C50" t="str">
            <v>COMPOSIÇÃO</v>
          </cell>
          <cell r="D50" t="str">
            <v>FORNECIMENTO E INSTALAÇÃO DE PARAFUSO CABEÇA LENTILHA COM FENDA Ø1/4" X 5/8";   FABRICANTE: MAXTIL OU EQUIVALENTE TÉCNICO. REF: MAX AF.PCL.</v>
          </cell>
          <cell r="E50" t="str">
            <v>UND</v>
          </cell>
          <cell r="F50">
            <v>522</v>
          </cell>
          <cell r="G50">
            <v>2.82</v>
          </cell>
          <cell r="H50">
            <v>3.53</v>
          </cell>
          <cell r="I50">
            <v>1842.66</v>
          </cell>
          <cell r="J50">
            <v>0.25</v>
          </cell>
        </row>
        <row r="51">
          <cell r="A51" t="str">
            <v>6.1.3</v>
          </cell>
          <cell r="B51" t="str">
            <v>COMPS33108</v>
          </cell>
          <cell r="C51" t="str">
            <v>COMPOSIÇÃO</v>
          </cell>
          <cell r="D51" t="str">
            <v>FORNECIMENTO E INSTALAÇÃO DE PORCA SEXTAVADO Ø1/4"; FABRICANTE: MAXTIL OU EQUIVALENTE TÉCNICO. REF: MAX AF.PS.</v>
          </cell>
          <cell r="E51" t="str">
            <v>UND</v>
          </cell>
          <cell r="F51">
            <v>522</v>
          </cell>
          <cell r="G51">
            <v>0.2</v>
          </cell>
          <cell r="H51">
            <v>0.25</v>
          </cell>
          <cell r="I51">
            <v>130.5</v>
          </cell>
          <cell r="J51">
            <v>0.25</v>
          </cell>
        </row>
        <row r="52">
          <cell r="A52" t="str">
            <v>6.1.4</v>
          </cell>
          <cell r="B52" t="str">
            <v>COMPS36001</v>
          </cell>
          <cell r="C52" t="str">
            <v>COMPOSIÇÃO</v>
          </cell>
          <cell r="D52" t="str">
            <v xml:space="preserve">FORNECIMENTO E INSTALAÇÃO DE VERGALHÃO ROSCA TOTAL Ø1/4"; FORNECIDO EM BARRA COM 3M; FABRICANTE: MAXTIL OU EQUIVALENTE TÉCNICO. </v>
          </cell>
          <cell r="E52" t="str">
            <v>UND</v>
          </cell>
          <cell r="F52">
            <v>12</v>
          </cell>
          <cell r="G52">
            <v>30.59</v>
          </cell>
          <cell r="H52">
            <v>38.24</v>
          </cell>
          <cell r="I52">
            <v>458.88</v>
          </cell>
          <cell r="J52">
            <v>0.25</v>
          </cell>
        </row>
        <row r="53">
          <cell r="A53" t="str">
            <v>6.1.5</v>
          </cell>
          <cell r="B53" t="str">
            <v>COMPS36002</v>
          </cell>
          <cell r="C53" t="str">
            <v>COMPOSIÇÃO</v>
          </cell>
          <cell r="D53" t="str">
            <v xml:space="preserve">FORNECIMENTO E COLOCAÇÃO DE CHUMBADOR EXPANSIVO "CB",  DE 1/4" ,COMPLETO EM AÇO ZINCADO GALVANIZADO A FOGO. FABRICANTE: MAXTIL OU EQUIVALENTE TÉCNICO. </v>
          </cell>
          <cell r="E53" t="str">
            <v>UND.</v>
          </cell>
          <cell r="F53">
            <v>144</v>
          </cell>
          <cell r="G53">
            <v>0.95000000000000007</v>
          </cell>
          <cell r="H53">
            <v>1.19</v>
          </cell>
          <cell r="I53">
            <v>171.36</v>
          </cell>
          <cell r="J53">
            <v>0.25</v>
          </cell>
        </row>
        <row r="54">
          <cell r="A54">
            <v>0</v>
          </cell>
          <cell r="B54">
            <v>0</v>
          </cell>
          <cell r="C54">
            <v>0</v>
          </cell>
          <cell r="D54" t="str">
            <v/>
          </cell>
          <cell r="E54" t="str">
            <v/>
          </cell>
          <cell r="F54">
            <v>0</v>
          </cell>
          <cell r="G54" t="str">
            <v/>
          </cell>
          <cell r="H54" t="str">
            <v/>
          </cell>
          <cell r="I54">
            <v>0</v>
          </cell>
          <cell r="J54">
            <v>0</v>
          </cell>
        </row>
        <row r="55">
          <cell r="A55" t="str">
            <v>6.2</v>
          </cell>
          <cell r="B55">
            <v>0</v>
          </cell>
          <cell r="C55">
            <v>0</v>
          </cell>
          <cell r="D55" t="str">
            <v>CAIXAS</v>
          </cell>
          <cell r="E55" t="str">
            <v/>
          </cell>
          <cell r="F55">
            <v>0</v>
          </cell>
          <cell r="G55" t="str">
            <v/>
          </cell>
          <cell r="H55" t="str">
            <v/>
          </cell>
          <cell r="I55">
            <v>0</v>
          </cell>
          <cell r="J55">
            <v>0</v>
          </cell>
        </row>
        <row r="56">
          <cell r="A56" t="str">
            <v>6.2.1</v>
          </cell>
          <cell r="B56" t="str">
            <v>73861/015</v>
          </cell>
          <cell r="C56" t="str">
            <v>SINAPI SERVIÇO</v>
          </cell>
          <cell r="D56" t="str">
            <v>CONDULETE 1" EM LIGA DE ALUMÍNIO FUNDIDO TIPO "LL" - FORNECIMENTO E IN   STALACAO</v>
          </cell>
          <cell r="E56" t="str">
            <v>UN</v>
          </cell>
          <cell r="F56">
            <v>6</v>
          </cell>
          <cell r="G56">
            <v>20.12</v>
          </cell>
          <cell r="H56">
            <v>25.15</v>
          </cell>
          <cell r="I56">
            <v>150.9</v>
          </cell>
          <cell r="J56">
            <v>0.25</v>
          </cell>
        </row>
        <row r="57">
          <cell r="A57" t="str">
            <v>6.2.2</v>
          </cell>
          <cell r="B57" t="str">
            <v>73861/021</v>
          </cell>
          <cell r="C57" t="str">
            <v>SINAPI SERVIÇO</v>
          </cell>
          <cell r="D57" t="str">
            <v>CONDULETE 1" EM LIGA DE ALUMÍNIO FUNDIDO TIPO "T" - FORNECIMENTO E INS   TALACAO</v>
          </cell>
          <cell r="E57" t="str">
            <v>UN</v>
          </cell>
          <cell r="F57">
            <v>2</v>
          </cell>
          <cell r="G57">
            <v>23.76</v>
          </cell>
          <cell r="H57">
            <v>29.7</v>
          </cell>
          <cell r="I57">
            <v>59.4</v>
          </cell>
          <cell r="J57">
            <v>0.25</v>
          </cell>
        </row>
        <row r="58">
          <cell r="A58" t="str">
            <v>6.2.3</v>
          </cell>
          <cell r="B58" t="str">
            <v>73861/006</v>
          </cell>
          <cell r="C58" t="str">
            <v>SINAPI SERVIÇO</v>
          </cell>
          <cell r="D58" t="str">
            <v>CONDULETE 1" EM LIGA DE ALUMÍNIO FUNDIDO TIPO "C" - FORNECIMENTO E INS   TALACAO</v>
          </cell>
          <cell r="E58" t="str">
            <v>UN</v>
          </cell>
          <cell r="F58">
            <v>2</v>
          </cell>
          <cell r="G58">
            <v>20.399999999999999</v>
          </cell>
          <cell r="H58">
            <v>25.5</v>
          </cell>
          <cell r="I58">
            <v>51</v>
          </cell>
          <cell r="J58">
            <v>0.25</v>
          </cell>
        </row>
        <row r="59">
          <cell r="A59" t="str">
            <v>6.2.4</v>
          </cell>
          <cell r="B59">
            <v>83387</v>
          </cell>
          <cell r="C59" t="str">
            <v>SINAPI SERVIÇO</v>
          </cell>
          <cell r="D59" t="str">
            <v>CAIXA DE PASSAGEM PVC 4X2" - FORNECIMENTO E INSTALACAO</v>
          </cell>
          <cell r="E59" t="str">
            <v>UN</v>
          </cell>
          <cell r="F59">
            <v>31</v>
          </cell>
          <cell r="G59">
            <v>6.53</v>
          </cell>
          <cell r="H59">
            <v>8.16</v>
          </cell>
          <cell r="I59">
            <v>252.96</v>
          </cell>
          <cell r="J59">
            <v>0.25</v>
          </cell>
        </row>
        <row r="60">
          <cell r="A60">
            <v>0</v>
          </cell>
          <cell r="B60">
            <v>0</v>
          </cell>
          <cell r="C60">
            <v>0</v>
          </cell>
          <cell r="D60" t="str">
            <v/>
          </cell>
          <cell r="E60" t="str">
            <v/>
          </cell>
          <cell r="F60">
            <v>0</v>
          </cell>
          <cell r="G60" t="str">
            <v/>
          </cell>
          <cell r="H60" t="str">
            <v/>
          </cell>
          <cell r="I60">
            <v>0</v>
          </cell>
          <cell r="J60">
            <v>0</v>
          </cell>
        </row>
        <row r="61">
          <cell r="A61" t="str">
            <v>6.3</v>
          </cell>
          <cell r="B61">
            <v>0</v>
          </cell>
          <cell r="C61">
            <v>0</v>
          </cell>
          <cell r="D61" t="str">
            <v>ELETRODUTOS</v>
          </cell>
          <cell r="E61" t="str">
            <v/>
          </cell>
          <cell r="F61">
            <v>0</v>
          </cell>
          <cell r="G61" t="str">
            <v/>
          </cell>
          <cell r="H61" t="str">
            <v/>
          </cell>
          <cell r="I61">
            <v>0</v>
          </cell>
          <cell r="J61">
            <v>0</v>
          </cell>
        </row>
        <row r="62">
          <cell r="A62" t="str">
            <v>6.3.1</v>
          </cell>
          <cell r="B62" t="str">
            <v>COMPS33102</v>
          </cell>
          <cell r="C62" t="str">
            <v>COMPOSIÇÃO</v>
          </cell>
          <cell r="D62" t="str">
            <v>FORNECIMENTO E INSTALAÇÃO DE ELETRODUTO  LEVE, Ø1" , GALVANIZADO A FOGO; ROSCADO NAS DUAS EXTREMIDADES CONFORME NORMA NBR NM ISO 7-1; FABRICANTE: APOLO OU EQUIVALENTE TECNICO; INCLUSIVE CONEXÕES</v>
          </cell>
          <cell r="E62" t="str">
            <v>UND</v>
          </cell>
          <cell r="F62">
            <v>12</v>
          </cell>
          <cell r="G62">
            <v>61.35</v>
          </cell>
          <cell r="H62">
            <v>76.69</v>
          </cell>
          <cell r="I62">
            <v>920.28</v>
          </cell>
          <cell r="J62">
            <v>0.25</v>
          </cell>
        </row>
        <row r="63">
          <cell r="A63" t="str">
            <v>6.3.2</v>
          </cell>
          <cell r="B63" t="str">
            <v>COMPS33105</v>
          </cell>
          <cell r="C63" t="str">
            <v>COMPOSIÇÃO</v>
          </cell>
          <cell r="D63" t="str">
            <v>FORNECIMENTO E INSTALAÇÃO DE ABRAÇADEIRA METÁLICA, TIPO D C/ CUNHA PARA Ø1"; FABRICANTE: MAXTIL OU EQUIVALENTE TECNICO - REF: MAX AA.TDC.</v>
          </cell>
          <cell r="E63" t="str">
            <v>UND</v>
          </cell>
          <cell r="F63">
            <v>28</v>
          </cell>
          <cell r="G63">
            <v>4.3</v>
          </cell>
          <cell r="H63">
            <v>5.38</v>
          </cell>
          <cell r="I63">
            <v>150.63999999999999</v>
          </cell>
          <cell r="J63">
            <v>0.25</v>
          </cell>
        </row>
        <row r="64">
          <cell r="A64">
            <v>0</v>
          </cell>
          <cell r="B64">
            <v>0</v>
          </cell>
          <cell r="C64">
            <v>0</v>
          </cell>
          <cell r="D64" t="str">
            <v/>
          </cell>
          <cell r="E64" t="str">
            <v/>
          </cell>
          <cell r="F64">
            <v>0</v>
          </cell>
          <cell r="G64" t="str">
            <v/>
          </cell>
          <cell r="H64" t="str">
            <v/>
          </cell>
          <cell r="I64">
            <v>0</v>
          </cell>
          <cell r="J64">
            <v>0</v>
          </cell>
        </row>
        <row r="65">
          <cell r="A65" t="str">
            <v>6.4</v>
          </cell>
          <cell r="B65">
            <v>0</v>
          </cell>
          <cell r="C65">
            <v>0</v>
          </cell>
          <cell r="D65" t="str">
            <v>ELETROCALHA/PERFILADO</v>
          </cell>
          <cell r="E65" t="str">
            <v/>
          </cell>
          <cell r="F65">
            <v>0</v>
          </cell>
          <cell r="G65" t="str">
            <v/>
          </cell>
          <cell r="H65" t="str">
            <v/>
          </cell>
          <cell r="I65">
            <v>0</v>
          </cell>
          <cell r="J65">
            <v>0</v>
          </cell>
        </row>
        <row r="66">
          <cell r="A66" t="str">
            <v>6.4.1</v>
          </cell>
          <cell r="B66" t="str">
            <v>COMPS36004</v>
          </cell>
          <cell r="C66" t="str">
            <v>COMPOSIÇÃO</v>
          </cell>
          <cell r="D66" t="str">
            <v xml:space="preserve">FORNECIMENTO E INSTALAÇÃO DE ELETROCALHA PERFURADA,  50X50X3000 MM ,COM TAMPA DE PRESSÃO , TIPO U,COM ABAS, GALVANIZADA À QUENTE POR IMERSÃO, SEGUNDO NORMA NBR 6323; MAXTIL OU EQUIVALENTE TÉCNICO. </v>
          </cell>
          <cell r="E66" t="str">
            <v>UND.</v>
          </cell>
          <cell r="F66">
            <v>18</v>
          </cell>
          <cell r="G66">
            <v>78.73</v>
          </cell>
          <cell r="H66">
            <v>98.41</v>
          </cell>
          <cell r="I66">
            <v>1771.38</v>
          </cell>
          <cell r="J66">
            <v>0.25</v>
          </cell>
        </row>
        <row r="67">
          <cell r="A67" t="str">
            <v>6.4.2</v>
          </cell>
          <cell r="B67" t="str">
            <v>COMPS36005</v>
          </cell>
          <cell r="C67" t="str">
            <v>COMPOSIÇÃO</v>
          </cell>
          <cell r="D67" t="str">
            <v>FORNECIMENTO E INSTALAÇÃO DE JUNÇÃO SIMPLES , ELETROCALHA 50X50 MM. FAB:  REFE:JSC.50,MAXTIL OU EQ TÉCNICO</v>
          </cell>
          <cell r="E67" t="str">
            <v>UND.</v>
          </cell>
          <cell r="F67">
            <v>200</v>
          </cell>
          <cell r="G67">
            <v>11</v>
          </cell>
          <cell r="H67">
            <v>13.75</v>
          </cell>
          <cell r="I67">
            <v>2750</v>
          </cell>
          <cell r="J67">
            <v>0.25</v>
          </cell>
        </row>
        <row r="68">
          <cell r="A68" t="str">
            <v>6.4.3</v>
          </cell>
          <cell r="B68" t="str">
            <v>COMPS36006</v>
          </cell>
          <cell r="C68" t="str">
            <v>COMPOSIÇÃO</v>
          </cell>
          <cell r="D68" t="str">
            <v>FORNECIMENTO E INSTALAÇÃO DE PERFILADO 38X38 MMX 3000MM. REFE:JSC.50,MAXTIL OU EQ TÉCNICO</v>
          </cell>
          <cell r="E68" t="str">
            <v>UND.</v>
          </cell>
          <cell r="F68">
            <v>6</v>
          </cell>
          <cell r="G68">
            <v>37.380000000000003</v>
          </cell>
          <cell r="H68">
            <v>46.73</v>
          </cell>
          <cell r="I68">
            <v>280.38</v>
          </cell>
          <cell r="J68">
            <v>0.25</v>
          </cell>
        </row>
        <row r="69">
          <cell r="A69" t="str">
            <v>6.4.4</v>
          </cell>
          <cell r="B69" t="str">
            <v>COMPS36007</v>
          </cell>
          <cell r="C69" t="str">
            <v>COMPOSIÇÃO</v>
          </cell>
          <cell r="D69" t="str">
            <v xml:space="preserve">FORNECIMENTO E INSTALAÇÃO DE TERMINAL LISO PARA ELETROCALHA, 50X50 MM GALVANIZADO À QUENTE POR IMERSÃO, SEGUNDO NORMA NBR 6323; FABRICANTE: MAXTIL OU EQUIVALENTE TÉCNICO. </v>
          </cell>
          <cell r="E69" t="str">
            <v>UND.</v>
          </cell>
          <cell r="F69">
            <v>9</v>
          </cell>
          <cell r="G69">
            <v>3.7199999999999998</v>
          </cell>
          <cell r="H69">
            <v>4.6500000000000004</v>
          </cell>
          <cell r="I69">
            <v>41.85</v>
          </cell>
          <cell r="J69">
            <v>0.25</v>
          </cell>
        </row>
        <row r="70">
          <cell r="A70" t="str">
            <v>6.4.5</v>
          </cell>
          <cell r="B70" t="str">
            <v>COMPS36008</v>
          </cell>
          <cell r="C70" t="str">
            <v>COMPOSIÇÃO</v>
          </cell>
          <cell r="D70" t="str">
            <v xml:space="preserve">FORNECIMENTO E INSTALAÇÃO DE CURVA HORIZONTAL 90° COM TAMPA PARA ELETROCALHA PERFURADA COM VIROLA,  50X50 MM COM TAMPA, GALVANIZADO Á QUENTE POR IMERSÃO; CHAPA: #16;  FABRICANTE: MAXTIL OU EQUIVALENTE TÉCNICO. </v>
          </cell>
          <cell r="E70" t="str">
            <v>UND.</v>
          </cell>
          <cell r="F70">
            <v>1</v>
          </cell>
          <cell r="G70">
            <v>23.009999999999998</v>
          </cell>
          <cell r="H70">
            <v>28.76</v>
          </cell>
          <cell r="I70">
            <v>28.76</v>
          </cell>
          <cell r="J70">
            <v>0.25</v>
          </cell>
        </row>
        <row r="71">
          <cell r="A71" t="str">
            <v>6.4.6</v>
          </cell>
          <cell r="B71" t="str">
            <v>COMPS36009</v>
          </cell>
          <cell r="C71" t="str">
            <v>COMPOSIÇÃO</v>
          </cell>
          <cell r="D71" t="str">
            <v xml:space="preserve">FORNECIMENTO E INSTALAÇÃO DE TE HORIZONTAL COM TAMPA PARA ELETROCALHA PERFURADA COM VIROLA,  50X50 MM COM TAMPA, GALVANIZADO Á QUENTE POR IMERSÃO; CHAPA: #16;  FABRICANTE: MAXTIL OU EQUIVALENTE TÉCNICO. </v>
          </cell>
          <cell r="E71" t="str">
            <v>UND.</v>
          </cell>
          <cell r="F71">
            <v>1</v>
          </cell>
          <cell r="G71">
            <v>39.57</v>
          </cell>
          <cell r="H71">
            <v>49.46</v>
          </cell>
          <cell r="I71">
            <v>49.46</v>
          </cell>
          <cell r="J71">
            <v>0.25</v>
          </cell>
        </row>
        <row r="72">
          <cell r="A72">
            <v>0</v>
          </cell>
          <cell r="B72">
            <v>0</v>
          </cell>
          <cell r="C72">
            <v>0</v>
          </cell>
          <cell r="D72" t="str">
            <v/>
          </cell>
          <cell r="E72" t="str">
            <v/>
          </cell>
          <cell r="F72">
            <v>0</v>
          </cell>
          <cell r="G72" t="str">
            <v/>
          </cell>
          <cell r="H72" t="str">
            <v/>
          </cell>
          <cell r="I72">
            <v>0</v>
          </cell>
          <cell r="J72">
            <v>0</v>
          </cell>
        </row>
        <row r="73">
          <cell r="A73" t="str">
            <v>6.5</v>
          </cell>
          <cell r="B73">
            <v>0</v>
          </cell>
          <cell r="C73">
            <v>0</v>
          </cell>
          <cell r="D73" t="str">
            <v>CABOS</v>
          </cell>
          <cell r="E73" t="str">
            <v/>
          </cell>
          <cell r="F73">
            <v>0</v>
          </cell>
          <cell r="G73" t="str">
            <v/>
          </cell>
          <cell r="H73" t="str">
            <v/>
          </cell>
          <cell r="I73">
            <v>0</v>
          </cell>
          <cell r="J73">
            <v>0</v>
          </cell>
        </row>
        <row r="74">
          <cell r="A74" t="str">
            <v>6.5.1</v>
          </cell>
          <cell r="B74" t="str">
            <v>COMPS33110</v>
          </cell>
          <cell r="C74" t="str">
            <v>COMPOSIÇÃO</v>
          </cell>
          <cell r="D74" t="str">
            <v>FORNECIMENTO E INSTALAÇÃO DE CABO UTP, CATEG 6, COR AZUL, FAST-LAN,CAIXA COM 305 METROS FAB.; FURUKAWA OU EQUIVALENTE TÉCNICO.</v>
          </cell>
          <cell r="E74" t="str">
            <v>M</v>
          </cell>
          <cell r="F74">
            <v>1133</v>
          </cell>
          <cell r="G74">
            <v>6.81</v>
          </cell>
          <cell r="H74">
            <v>8.51</v>
          </cell>
          <cell r="I74">
            <v>9641.83</v>
          </cell>
          <cell r="J74">
            <v>0.25</v>
          </cell>
        </row>
        <row r="75">
          <cell r="A75">
            <v>0</v>
          </cell>
          <cell r="B75">
            <v>0</v>
          </cell>
          <cell r="C75">
            <v>0</v>
          </cell>
          <cell r="D75" t="str">
            <v/>
          </cell>
          <cell r="E75" t="str">
            <v/>
          </cell>
          <cell r="F75">
            <v>0</v>
          </cell>
          <cell r="G75" t="str">
            <v/>
          </cell>
          <cell r="H75" t="str">
            <v/>
          </cell>
          <cell r="I75">
            <v>0</v>
          </cell>
          <cell r="J75">
            <v>0</v>
          </cell>
        </row>
        <row r="76">
          <cell r="A76" t="str">
            <v>6.6</v>
          </cell>
          <cell r="B76">
            <v>0</v>
          </cell>
          <cell r="C76">
            <v>0</v>
          </cell>
          <cell r="D76" t="str">
            <v>TOMADAS</v>
          </cell>
          <cell r="E76" t="str">
            <v/>
          </cell>
          <cell r="F76">
            <v>0</v>
          </cell>
          <cell r="G76" t="str">
            <v/>
          </cell>
          <cell r="H76" t="str">
            <v/>
          </cell>
          <cell r="I76">
            <v>0</v>
          </cell>
          <cell r="J76">
            <v>0</v>
          </cell>
        </row>
        <row r="77">
          <cell r="A77" t="str">
            <v>6.6.1</v>
          </cell>
          <cell r="B77" t="str">
            <v>COMPS36010</v>
          </cell>
          <cell r="C77" t="str">
            <v>COMPOSIÇÃO</v>
          </cell>
          <cell r="D77" t="str">
            <v>FORNECIMENTO E INSTALAÇÃO DE TOMADA DUPLA LÓGICA RJ 45, 4"X2",EMBUTIR , COMPLETA. FURUKAWA OU EQUIVALENTE TÉCNICO.</v>
          </cell>
          <cell r="E77" t="str">
            <v>UND.</v>
          </cell>
          <cell r="F77">
            <v>31</v>
          </cell>
          <cell r="G77">
            <v>45.01</v>
          </cell>
          <cell r="H77">
            <v>56.26</v>
          </cell>
          <cell r="I77">
            <v>1744.06</v>
          </cell>
          <cell r="J77">
            <v>0.25</v>
          </cell>
        </row>
        <row r="78">
          <cell r="A78" t="str">
            <v>6.6.2</v>
          </cell>
          <cell r="B78" t="str">
            <v>COMPS36011</v>
          </cell>
          <cell r="C78" t="str">
            <v>COMPOSIÇÃO</v>
          </cell>
          <cell r="D78" t="str">
            <v>FORNECIMENTO E INSTALAÇÃO DE CONECTOR GIGALAN FEMÊA GIGALAN-CM CAT.6 BRANCO- FURUKAWA-3503030601-66, OU EQUIVALENTE TÉCNICO.</v>
          </cell>
          <cell r="E78" t="str">
            <v>UND.</v>
          </cell>
          <cell r="F78">
            <v>58</v>
          </cell>
          <cell r="G78">
            <v>28.089999999999996</v>
          </cell>
          <cell r="H78">
            <v>35.11</v>
          </cell>
          <cell r="I78">
            <v>2036.38</v>
          </cell>
          <cell r="J78">
            <v>0.25</v>
          </cell>
        </row>
        <row r="79">
          <cell r="A79">
            <v>0</v>
          </cell>
          <cell r="B79">
            <v>0</v>
          </cell>
          <cell r="C79">
            <v>0</v>
          </cell>
          <cell r="D79" t="str">
            <v/>
          </cell>
          <cell r="E79" t="str">
            <v/>
          </cell>
          <cell r="F79">
            <v>0</v>
          </cell>
          <cell r="G79" t="str">
            <v/>
          </cell>
          <cell r="H79" t="str">
            <v/>
          </cell>
          <cell r="I79">
            <v>0</v>
          </cell>
          <cell r="J79">
            <v>0</v>
          </cell>
        </row>
        <row r="80">
          <cell r="A80" t="str">
            <v>6.7</v>
          </cell>
          <cell r="B80">
            <v>0</v>
          </cell>
          <cell r="C80">
            <v>0</v>
          </cell>
          <cell r="D80" t="str">
            <v>RACK</v>
          </cell>
          <cell r="E80" t="str">
            <v/>
          </cell>
          <cell r="F80">
            <v>0</v>
          </cell>
          <cell r="G80" t="str">
            <v/>
          </cell>
          <cell r="H80" t="str">
            <v/>
          </cell>
          <cell r="I80">
            <v>0</v>
          </cell>
          <cell r="J80">
            <v>0</v>
          </cell>
        </row>
        <row r="81">
          <cell r="A81" t="str">
            <v>6.7.1</v>
          </cell>
          <cell r="B81" t="str">
            <v>COMPS36012</v>
          </cell>
          <cell r="C81" t="str">
            <v>COMPOSIÇÃO</v>
          </cell>
          <cell r="D81" t="str">
            <v>FORNECIMENTO E INSTALAÇÃO DE GABINETE(RACK) W38 16X570 PORT/VIDRO SV ARE. FAB:- WOMER-LIGHT-WE OU EQ. TÉCNICO.</v>
          </cell>
          <cell r="E81" t="str">
            <v>PÇ</v>
          </cell>
          <cell r="F81">
            <v>3</v>
          </cell>
          <cell r="G81">
            <v>917.71</v>
          </cell>
          <cell r="H81">
            <v>1147.1400000000001</v>
          </cell>
          <cell r="I81">
            <v>3441.42</v>
          </cell>
          <cell r="J81">
            <v>0.25</v>
          </cell>
        </row>
        <row r="82">
          <cell r="A82" t="str">
            <v>6.7.2</v>
          </cell>
          <cell r="B82" t="str">
            <v>COMPS36013</v>
          </cell>
          <cell r="C82" t="str">
            <v>COMPOSIÇÃO</v>
          </cell>
          <cell r="D82" t="str">
            <v>FORNECIMENTO E INSTALAÇÃO DE VOICE PANEL 30 PORTAS, CAT.3- FURUKAWA 35030301-FU066, OU EQUIVALENTE TÉCNICO.</v>
          </cell>
          <cell r="E82" t="str">
            <v>UND</v>
          </cell>
          <cell r="F82">
            <v>3</v>
          </cell>
          <cell r="G82">
            <v>327.3</v>
          </cell>
          <cell r="H82">
            <v>409.13</v>
          </cell>
          <cell r="I82">
            <v>1227.3900000000001</v>
          </cell>
          <cell r="J82">
            <v>0.25</v>
          </cell>
        </row>
        <row r="83">
          <cell r="A83" t="str">
            <v>6.7.3</v>
          </cell>
          <cell r="B83" t="str">
            <v>COMPS36014</v>
          </cell>
          <cell r="C83" t="str">
            <v>COMPOSIÇÃO</v>
          </cell>
          <cell r="D83" t="str">
            <v>FORNECIMENTO E INSTALAÇÃO DE PATCH PAINEL GIGALAN CAT.6 24P 568A/B ROHS PRETO- FURUKAWA-3503001, OU EQUIVALENTE TÉCNICO.</v>
          </cell>
          <cell r="E83" t="str">
            <v>PÇ</v>
          </cell>
          <cell r="F83">
            <v>6</v>
          </cell>
          <cell r="G83">
            <v>558.15</v>
          </cell>
          <cell r="H83">
            <v>697.69</v>
          </cell>
          <cell r="I83">
            <v>4186.1400000000003</v>
          </cell>
          <cell r="J83">
            <v>0.25</v>
          </cell>
        </row>
        <row r="84">
          <cell r="A84" t="str">
            <v>6.7.4</v>
          </cell>
          <cell r="B84" t="str">
            <v>COMPS36015</v>
          </cell>
          <cell r="C84" t="str">
            <v>COMPOSIÇÃO</v>
          </cell>
          <cell r="D84" t="str">
            <v>FORNECIMENTO E INSTALAÇÃO DE PATCH CORD.GIGALAN-CM CAT.6 2,5M AZUL- FURUKAWA- 35123604-631, OU EQUIVALENTE TÉCNICO.</v>
          </cell>
          <cell r="E84" t="str">
            <v>PÇ</v>
          </cell>
          <cell r="F84">
            <v>62</v>
          </cell>
          <cell r="G84">
            <v>26.85</v>
          </cell>
          <cell r="H84">
            <v>33.56</v>
          </cell>
          <cell r="I84">
            <v>2080.7199999999998</v>
          </cell>
          <cell r="J84">
            <v>0.25</v>
          </cell>
        </row>
        <row r="85">
          <cell r="A85" t="str">
            <v>6.7.5</v>
          </cell>
          <cell r="B85" t="str">
            <v>COMPS36016</v>
          </cell>
          <cell r="C85" t="str">
            <v>COMPOSIÇÃO</v>
          </cell>
          <cell r="D85" t="str">
            <v>FORNECIMENTO E INSTALAÇÃO DE PATCH CORD.GIGALAN-CM CAT.6 2,5M VERMELHO- FURUKAWA- 35123604-631, OU EQUIVALENTE TÉCNICO.</v>
          </cell>
          <cell r="E85" t="str">
            <v>UND</v>
          </cell>
          <cell r="F85">
            <v>62</v>
          </cell>
          <cell r="G85">
            <v>26.85</v>
          </cell>
          <cell r="H85">
            <v>33.56</v>
          </cell>
          <cell r="I85">
            <v>2080.7199999999998</v>
          </cell>
          <cell r="J85">
            <v>0.25</v>
          </cell>
        </row>
        <row r="86">
          <cell r="A86" t="str">
            <v>6.7.6</v>
          </cell>
          <cell r="B86" t="str">
            <v>COMPS36017</v>
          </cell>
          <cell r="C86" t="str">
            <v>COMPOSIÇÃO</v>
          </cell>
          <cell r="D86" t="str">
            <v>FORNECIMENTO E INSTALAÇÃO DE SWITCH 24 PORTAS 10/100 19"+ QOS INTELBRAS - SF2400QR- 11507 - FAST ETHERNET FAB.: INTELBRAS OU EQUIVALENTE TÉCNICO.</v>
          </cell>
          <cell r="E86" t="str">
            <v>PÇ</v>
          </cell>
          <cell r="F86">
            <v>5</v>
          </cell>
          <cell r="G86">
            <v>218.16</v>
          </cell>
          <cell r="H86">
            <v>272.7</v>
          </cell>
          <cell r="I86">
            <v>1363.5</v>
          </cell>
          <cell r="J86">
            <v>0.25</v>
          </cell>
        </row>
        <row r="87">
          <cell r="A87" t="str">
            <v>6.7.7</v>
          </cell>
          <cell r="B87" t="str">
            <v>COMPS36018</v>
          </cell>
          <cell r="C87" t="str">
            <v>COMPOSIÇÃO</v>
          </cell>
          <cell r="D87" t="str">
            <v>FORNECIMENTO E INSTALAÇÃO DE GUIA DE CABOS FECHADO HORIZONTAL 1UX69X19" - FURUKAWA - 351- 6678R. OU EQUIVALENTE TÉCNICO.</v>
          </cell>
          <cell r="E87" t="str">
            <v>PÇ</v>
          </cell>
          <cell r="F87">
            <v>9</v>
          </cell>
          <cell r="G87">
            <v>19.419999999999998</v>
          </cell>
          <cell r="H87">
            <v>24.28</v>
          </cell>
          <cell r="I87">
            <v>218.52</v>
          </cell>
          <cell r="J87">
            <v>0.25</v>
          </cell>
        </row>
        <row r="88">
          <cell r="A88" t="str">
            <v>6.7.8</v>
          </cell>
          <cell r="B88" t="str">
            <v>COMPS36019</v>
          </cell>
          <cell r="C88" t="str">
            <v>COMPOSIÇÃO</v>
          </cell>
          <cell r="D88" t="str">
            <v>FORNECIMENTO E INSTALAÇÃO DE ETIQUETA LAT 1000"X1330" (25.40MMX33.78MM) C/1.000 ET- LAT- 18 - 361-1- 1BRADY - BD001, OU EQUIVALENTE TÉCNICO.</v>
          </cell>
          <cell r="E88" t="str">
            <v>PÇ</v>
          </cell>
          <cell r="F88">
            <v>116</v>
          </cell>
          <cell r="G88">
            <v>360.33</v>
          </cell>
          <cell r="H88">
            <v>450.41</v>
          </cell>
          <cell r="I88">
            <v>52247.56</v>
          </cell>
          <cell r="J88">
            <v>0.25</v>
          </cell>
        </row>
        <row r="89">
          <cell r="A89" t="str">
            <v>6.7.9</v>
          </cell>
          <cell r="B89" t="str">
            <v>COMPS36020</v>
          </cell>
          <cell r="C89" t="str">
            <v>COMPOSIÇÃO</v>
          </cell>
          <cell r="D89" t="str">
            <v>FORNECIMENTO E INSTALAÇÃO DE ETIQUETAS DE IDENTIFICAÇÃO DOS PONTOS NAS TOMADAS.</v>
          </cell>
          <cell r="E89" t="str">
            <v>PÇ</v>
          </cell>
          <cell r="F89">
            <v>1</v>
          </cell>
          <cell r="G89">
            <v>1.62</v>
          </cell>
          <cell r="H89">
            <v>2.0299999999999998</v>
          </cell>
          <cell r="I89">
            <v>2.0299999999999998</v>
          </cell>
          <cell r="J89">
            <v>0.25</v>
          </cell>
        </row>
        <row r="90">
          <cell r="A90">
            <v>0</v>
          </cell>
          <cell r="B90">
            <v>0</v>
          </cell>
          <cell r="C90">
            <v>0</v>
          </cell>
          <cell r="D90" t="str">
            <v/>
          </cell>
          <cell r="E90" t="str">
            <v/>
          </cell>
          <cell r="F90">
            <v>0</v>
          </cell>
          <cell r="G90" t="str">
            <v/>
          </cell>
          <cell r="H90" t="str">
            <v/>
          </cell>
          <cell r="I90">
            <v>0</v>
          </cell>
          <cell r="J90">
            <v>0</v>
          </cell>
        </row>
        <row r="91">
          <cell r="A91">
            <v>0</v>
          </cell>
          <cell r="B91">
            <v>0</v>
          </cell>
          <cell r="C91">
            <v>0</v>
          </cell>
          <cell r="D91" t="str">
            <v/>
          </cell>
          <cell r="E91" t="str">
            <v/>
          </cell>
          <cell r="F91">
            <v>0</v>
          </cell>
          <cell r="G91" t="str">
            <v/>
          </cell>
          <cell r="H91" t="str">
            <v/>
          </cell>
          <cell r="I91">
            <v>0</v>
          </cell>
          <cell r="J91">
            <v>0</v>
          </cell>
        </row>
        <row r="92">
          <cell r="A92">
            <v>0</v>
          </cell>
          <cell r="B92">
            <v>0</v>
          </cell>
          <cell r="C92">
            <v>0</v>
          </cell>
          <cell r="D92" t="str">
            <v/>
          </cell>
          <cell r="E92" t="str">
            <v/>
          </cell>
          <cell r="F92">
            <v>0</v>
          </cell>
          <cell r="G92" t="str">
            <v/>
          </cell>
          <cell r="H92" t="str">
            <v/>
          </cell>
          <cell r="I92">
            <v>0</v>
          </cell>
          <cell r="J92">
            <v>0</v>
          </cell>
        </row>
        <row r="93">
          <cell r="A93">
            <v>0</v>
          </cell>
          <cell r="B93">
            <v>0</v>
          </cell>
          <cell r="C93">
            <v>0</v>
          </cell>
          <cell r="D93" t="str">
            <v/>
          </cell>
          <cell r="E93" t="str">
            <v/>
          </cell>
          <cell r="F93">
            <v>0</v>
          </cell>
          <cell r="G93" t="str">
            <v/>
          </cell>
          <cell r="H93" t="str">
            <v/>
          </cell>
          <cell r="I93">
            <v>0</v>
          </cell>
          <cell r="J93">
            <v>0</v>
          </cell>
        </row>
        <row r="94">
          <cell r="A94">
            <v>0</v>
          </cell>
          <cell r="B94">
            <v>0</v>
          </cell>
          <cell r="C94">
            <v>0</v>
          </cell>
          <cell r="D94" t="str">
            <v/>
          </cell>
          <cell r="E94" t="str">
            <v/>
          </cell>
          <cell r="F94">
            <v>0</v>
          </cell>
          <cell r="G94" t="str">
            <v/>
          </cell>
          <cell r="H94" t="str">
            <v/>
          </cell>
          <cell r="I94">
            <v>0</v>
          </cell>
          <cell r="J94">
            <v>0</v>
          </cell>
        </row>
        <row r="95">
          <cell r="A95">
            <v>0</v>
          </cell>
          <cell r="B95">
            <v>0</v>
          </cell>
          <cell r="C95">
            <v>0</v>
          </cell>
          <cell r="D95" t="str">
            <v/>
          </cell>
          <cell r="E95" t="str">
            <v/>
          </cell>
          <cell r="F95">
            <v>0</v>
          </cell>
          <cell r="G95" t="str">
            <v/>
          </cell>
          <cell r="H95" t="str">
            <v/>
          </cell>
          <cell r="I95">
            <v>0</v>
          </cell>
          <cell r="J9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
      <sheetName val="MODELO"/>
      <sheetName val="R.C."/>
      <sheetName val="MOBILIZAÇÃO "/>
      <sheetName val="L.I.COT."/>
      <sheetName val="L.I.SINAPI"/>
      <sheetName val="L.S.SINAPI"/>
      <sheetName val="CCOMPS27047"/>
      <sheetName val="CCOMPS27048"/>
      <sheetName val="CCOMPS27049"/>
      <sheetName val="CCOMPS27050"/>
      <sheetName val="CCOMPS27051"/>
      <sheetName val="CCOMPS27052"/>
      <sheetName val="L.S.SICRO 2"/>
      <sheetName val="L.I.SICRO EQ"/>
      <sheetName val="L.I.SICRO MAT"/>
      <sheetName val="L.I.SICRO MO"/>
      <sheetName val="L.S.EMLURB"/>
      <sheetName val="L.S.COHAB"/>
      <sheetName val="L.S.COMPESA"/>
      <sheetName val="CCOMPS27017"/>
      <sheetName val="CCOMPS27018"/>
      <sheetName val="CCOMPS27019"/>
      <sheetName val="CCOMPS27020"/>
      <sheetName val="CCOMPS27021"/>
      <sheetName val="CCOMPS27030"/>
      <sheetName val="CCOMPS27031"/>
      <sheetName val="CCOMPS27032"/>
      <sheetName val="CCOMPS27033"/>
      <sheetName val="CCOMPS27034"/>
      <sheetName val="CCOMPS27035"/>
      <sheetName val="CCOMPS27036"/>
      <sheetName val="CCOMPS27037"/>
      <sheetName val="CCOMPS27038"/>
      <sheetName val="CCOMPS27039"/>
      <sheetName val="CCOMPS27040"/>
      <sheetName val="CCOMPS27041"/>
      <sheetName val="CC013.001.004"/>
      <sheetName val="CCOMPS27042"/>
      <sheetName val="CCOMPS27043"/>
      <sheetName val="CCOMPS27044"/>
      <sheetName val="CCOMPS27045"/>
      <sheetName val="CCOMPS27046"/>
      <sheetName val="CCOMPS27047 (2)"/>
      <sheetName val="CCOMPS27048 (2)"/>
      <sheetName val="CCOMPS27049 (2)"/>
      <sheetName val="CCOMPS27050 (2)"/>
      <sheetName val="CCOMPS27051 (2)"/>
      <sheetName val="CCOMPS27052 (2)"/>
      <sheetName val="L.S.EML..."/>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v>0</v>
          </cell>
          <cell r="B11">
            <v>0</v>
          </cell>
          <cell r="C11">
            <v>0</v>
          </cell>
          <cell r="D11">
            <v>0</v>
          </cell>
          <cell r="E11">
            <v>0</v>
          </cell>
          <cell r="F11">
            <v>0</v>
          </cell>
          <cell r="G11">
            <v>0</v>
          </cell>
          <cell r="H11">
            <v>0</v>
          </cell>
          <cell r="I11">
            <v>0</v>
          </cell>
          <cell r="J11">
            <v>0</v>
          </cell>
        </row>
        <row r="12">
          <cell r="A12" t="str">
            <v>7.0</v>
          </cell>
          <cell r="B12">
            <v>0</v>
          </cell>
          <cell r="C12">
            <v>0</v>
          </cell>
          <cell r="D12" t="str">
            <v>INSTALAÇÕES HIDROSSANITÁRIAS</v>
          </cell>
          <cell r="E12" t="str">
            <v/>
          </cell>
          <cell r="F12">
            <v>0</v>
          </cell>
          <cell r="G12" t="str">
            <v/>
          </cell>
          <cell r="H12">
            <v>0</v>
          </cell>
          <cell r="I12">
            <v>97068.02</v>
          </cell>
          <cell r="J12">
            <v>0</v>
          </cell>
        </row>
        <row r="13">
          <cell r="A13">
            <v>0</v>
          </cell>
          <cell r="B13">
            <v>0</v>
          </cell>
          <cell r="C13">
            <v>0</v>
          </cell>
          <cell r="D13" t="str">
            <v/>
          </cell>
          <cell r="E13" t="str">
            <v/>
          </cell>
          <cell r="F13">
            <v>0</v>
          </cell>
          <cell r="G13" t="str">
            <v/>
          </cell>
          <cell r="H13" t="str">
            <v/>
          </cell>
          <cell r="I13">
            <v>0</v>
          </cell>
          <cell r="J13">
            <v>0</v>
          </cell>
        </row>
        <row r="14">
          <cell r="A14" t="str">
            <v>7.1</v>
          </cell>
          <cell r="B14">
            <v>0</v>
          </cell>
          <cell r="C14">
            <v>0</v>
          </cell>
          <cell r="D14" t="str">
            <v>ÁGUAS PLUVIAIS</v>
          </cell>
          <cell r="E14" t="str">
            <v/>
          </cell>
          <cell r="F14">
            <v>0</v>
          </cell>
          <cell r="G14" t="str">
            <v/>
          </cell>
          <cell r="H14" t="str">
            <v/>
          </cell>
          <cell r="I14">
            <v>0</v>
          </cell>
          <cell r="J14">
            <v>0</v>
          </cell>
        </row>
        <row r="15">
          <cell r="A15">
            <v>0</v>
          </cell>
          <cell r="B15">
            <v>0</v>
          </cell>
          <cell r="C15">
            <v>0</v>
          </cell>
          <cell r="D15" t="str">
            <v/>
          </cell>
          <cell r="E15" t="str">
            <v/>
          </cell>
          <cell r="F15">
            <v>0</v>
          </cell>
          <cell r="G15" t="str">
            <v/>
          </cell>
          <cell r="H15" t="str">
            <v/>
          </cell>
          <cell r="I15">
            <v>0</v>
          </cell>
          <cell r="J15">
            <v>0</v>
          </cell>
        </row>
        <row r="16">
          <cell r="A16" t="str">
            <v>7.1.1</v>
          </cell>
          <cell r="B16" t="str">
            <v>COMPS27019</v>
          </cell>
          <cell r="C16" t="str">
            <v>COMPOSIÇÃO</v>
          </cell>
          <cell r="D16" t="str">
            <v>FORNECIMENTO E INSTALAÇÃO DE TUBO PVC ESG SERIE NORMAL  150MM</v>
          </cell>
          <cell r="E16" t="str">
            <v>M</v>
          </cell>
          <cell r="F16">
            <v>21.72</v>
          </cell>
          <cell r="G16">
            <v>35.53</v>
          </cell>
          <cell r="H16">
            <v>44.41</v>
          </cell>
          <cell r="I16">
            <v>964.59</v>
          </cell>
          <cell r="J16">
            <v>0.25</v>
          </cell>
        </row>
        <row r="17">
          <cell r="A17" t="str">
            <v>7.1.2</v>
          </cell>
          <cell r="B17" t="str">
            <v>COMPS27017</v>
          </cell>
          <cell r="C17" t="str">
            <v>COMPOSIÇÃO</v>
          </cell>
          <cell r="D17" t="str">
            <v>FORNECIMENTO E INSTALAÇÃO DE TUBO PVC ESG SERIE NORMAL  40MM</v>
          </cell>
          <cell r="E17" t="str">
            <v>M</v>
          </cell>
          <cell r="F17">
            <v>20.04</v>
          </cell>
          <cell r="G17">
            <v>10.11</v>
          </cell>
          <cell r="H17">
            <v>12.64</v>
          </cell>
          <cell r="I17">
            <v>253.31</v>
          </cell>
          <cell r="J17">
            <v>0.25</v>
          </cell>
        </row>
        <row r="18">
          <cell r="A18" t="str">
            <v>7.1.3</v>
          </cell>
          <cell r="B18">
            <v>89800</v>
          </cell>
          <cell r="C18" t="str">
            <v>SINAPI SERVIÇO</v>
          </cell>
          <cell r="D18" t="str">
            <v>TUBO PVC, SERIE NORMAL, ESGOTO PREDIAL, DN 100 MM, FORNECIDO E INSTALADO EM PRUMADA DE ESGOTO SANITÁRIO OU VENTILAÇÃO. AF_12/2014_P</v>
          </cell>
          <cell r="E18" t="str">
            <v>M</v>
          </cell>
          <cell r="F18">
            <v>45.55</v>
          </cell>
          <cell r="G18">
            <v>14</v>
          </cell>
          <cell r="H18">
            <v>17.5</v>
          </cell>
          <cell r="I18">
            <v>797.13</v>
          </cell>
          <cell r="J18">
            <v>0.25</v>
          </cell>
        </row>
        <row r="19">
          <cell r="A19" t="str">
            <v>7.1.4</v>
          </cell>
          <cell r="B19" t="str">
            <v>COMPS27018</v>
          </cell>
          <cell r="C19" t="str">
            <v>COMPOSIÇÃO</v>
          </cell>
          <cell r="D19" t="str">
            <v>FORNECIMENTO E INSTALAÇÃO DE TUBO PVC ESG SERIE NORMAL  50MM</v>
          </cell>
          <cell r="E19" t="str">
            <v>M</v>
          </cell>
          <cell r="F19">
            <v>3.38</v>
          </cell>
          <cell r="G19">
            <v>14.190000000000001</v>
          </cell>
          <cell r="H19">
            <v>17.739999999999998</v>
          </cell>
          <cell r="I19">
            <v>59.96</v>
          </cell>
          <cell r="J19">
            <v>0.25</v>
          </cell>
        </row>
        <row r="20">
          <cell r="A20" t="str">
            <v>7.1.5</v>
          </cell>
          <cell r="B20" t="str">
            <v>COMPS27020</v>
          </cell>
          <cell r="C20" t="str">
            <v>COMPOSIÇÃO</v>
          </cell>
          <cell r="D20" t="str">
            <v>FORNECIMENTO E INSTALAÇÃO DE CAIXA SIFONADA DE 100X150X50MM /FAB.: TIGRE OU EQUIVANTE TÉCNICO, INCLUSIVE GRELHA E PORTA GRELHA</v>
          </cell>
          <cell r="E20" t="str">
            <v>PÇ</v>
          </cell>
          <cell r="F20">
            <v>20</v>
          </cell>
          <cell r="G20">
            <v>25.160000000000004</v>
          </cell>
          <cell r="H20">
            <v>31.45</v>
          </cell>
          <cell r="I20">
            <v>629</v>
          </cell>
          <cell r="J20">
            <v>0.25</v>
          </cell>
        </row>
        <row r="21">
          <cell r="A21" t="str">
            <v>7.1.6</v>
          </cell>
          <cell r="B21">
            <v>89491</v>
          </cell>
          <cell r="C21" t="str">
            <v>SINAPI SERVIÇO</v>
          </cell>
          <cell r="D21" t="str">
            <v>CAIXA SIFONADA, PVC, DN 150 X 185 X 75 MM, FORNECIDA E INSTALADA EM RA   MAIS DE ENCAMINHAMENTO DE ÁGUA PLUVIAL. AF_12/2014_P</v>
          </cell>
          <cell r="E21" t="str">
            <v>UN</v>
          </cell>
          <cell r="F21">
            <v>7</v>
          </cell>
          <cell r="G21">
            <v>40.869999999999997</v>
          </cell>
          <cell r="H21">
            <v>51.09</v>
          </cell>
          <cell r="I21">
            <v>357.63</v>
          </cell>
          <cell r="J21">
            <v>0.25</v>
          </cell>
        </row>
        <row r="22">
          <cell r="A22" t="str">
            <v>7.1.7</v>
          </cell>
          <cell r="B22">
            <v>89482</v>
          </cell>
          <cell r="C22" t="str">
            <v>SINAPI SERVIÇO</v>
          </cell>
          <cell r="D22" t="str">
            <v>CAIXA SIFONADA, PVC, DN 100 X 100 X 50 MM, FORNECIDA E INSTALADA EM RAMAIS DE ENCAMINHAMENTO DE ÁGUA PLUVIAL. AF_12/2014_P</v>
          </cell>
          <cell r="E22" t="str">
            <v>UN</v>
          </cell>
          <cell r="F22">
            <v>4</v>
          </cell>
          <cell r="G22">
            <v>16.38</v>
          </cell>
          <cell r="H22">
            <v>20.48</v>
          </cell>
          <cell r="I22">
            <v>81.92</v>
          </cell>
          <cell r="J22">
            <v>0.25</v>
          </cell>
        </row>
        <row r="23">
          <cell r="A23" t="str">
            <v>7.1.8</v>
          </cell>
          <cell r="B23">
            <v>89726</v>
          </cell>
          <cell r="C23" t="str">
            <v>SINAPI SERVIÇO</v>
          </cell>
          <cell r="D23" t="str">
            <v>JOELHO 45 GRAUS, PVC, SERIE NORMAL, ESGOTO PREDIAL, DN 40 MM, JUNTA SOLDÁVEL, FORNECIDO E INSTALADO EM RAMAL DE DESCARGA OU RAMAL DE ESGOTOSANITÁRIO. AF_12/2014_P</v>
          </cell>
          <cell r="E23" t="str">
            <v>UN</v>
          </cell>
          <cell r="F23">
            <v>11</v>
          </cell>
          <cell r="G23">
            <v>5.21</v>
          </cell>
          <cell r="H23">
            <v>6.51</v>
          </cell>
          <cell r="I23">
            <v>71.61</v>
          </cell>
          <cell r="J23">
            <v>0.25</v>
          </cell>
        </row>
        <row r="24">
          <cell r="A24" t="str">
            <v>7.1.9</v>
          </cell>
          <cell r="B24">
            <v>89746</v>
          </cell>
          <cell r="C24" t="str">
            <v>SINAPI SERVIÇO</v>
          </cell>
          <cell r="D24" t="str">
            <v>JOELHO 45 GRAUS, PVC, SERIE NORMAL, ESGOTO PREDIAL, DN 100 MM, JUNTA ELÁSTICA, FORNECIDO E INSTALADO EM RAMAL DE DESCARGA OU RAMAL DE ESGOTOSANITÁRIO. AF_12/2014</v>
          </cell>
          <cell r="E24" t="str">
            <v>UN</v>
          </cell>
          <cell r="F24">
            <v>5</v>
          </cell>
          <cell r="G24">
            <v>15.3</v>
          </cell>
          <cell r="H24">
            <v>19.13</v>
          </cell>
          <cell r="I24">
            <v>95.65</v>
          </cell>
          <cell r="J24">
            <v>0.25</v>
          </cell>
        </row>
        <row r="25">
          <cell r="A25" t="str">
            <v>7.1.10</v>
          </cell>
          <cell r="B25">
            <v>89732</v>
          </cell>
          <cell r="C25" t="str">
            <v>SINAPI SERVIÇO</v>
          </cell>
          <cell r="D25" t="str">
            <v>JOELHO 45 GRAUS, PVC, SERIE NORMAL, ESGOTO PREDIAL, DN 50 MM, JUNTA ELÁSTICA, FORNECIDO E INSTALADO EM RAMAL DE DESCARGA OU RAMAL DE ESGOTO SANITÁRIO. AF_12/2014</v>
          </cell>
          <cell r="E25" t="str">
            <v>UN</v>
          </cell>
          <cell r="F25">
            <v>3</v>
          </cell>
          <cell r="G25">
            <v>7.37</v>
          </cell>
          <cell r="H25">
            <v>9.2100000000000009</v>
          </cell>
          <cell r="I25">
            <v>27.63</v>
          </cell>
          <cell r="J25">
            <v>0.25</v>
          </cell>
        </row>
        <row r="26">
          <cell r="A26" t="str">
            <v>7.1.11</v>
          </cell>
          <cell r="B26">
            <v>89744</v>
          </cell>
          <cell r="C26" t="str">
            <v>SINAPI SERVIÇO</v>
          </cell>
          <cell r="D26" t="str">
            <v>JOELHO 90 GRAUS, PVC, SERIE NORMAL, ESGOTO PREDIAL, DN 100 MM, JUNTA ELÁSTICA, FORNECIDO E INSTALADO EM RAMAL DE DESCARGA OU RAMAL DE ESGOTOSANITÁRIO. AF_12/2014</v>
          </cell>
          <cell r="E26" t="str">
            <v>UN</v>
          </cell>
          <cell r="F26">
            <v>21</v>
          </cell>
          <cell r="G26">
            <v>15.81</v>
          </cell>
          <cell r="H26">
            <v>19.760000000000002</v>
          </cell>
          <cell r="I26">
            <v>414.96</v>
          </cell>
          <cell r="J26">
            <v>0.25</v>
          </cell>
        </row>
        <row r="27">
          <cell r="A27" t="str">
            <v>7.1.12</v>
          </cell>
          <cell r="B27" t="str">
            <v>COMPS27042</v>
          </cell>
          <cell r="C27" t="str">
            <v>COMPOSIÇÃO</v>
          </cell>
          <cell r="D27" t="str">
            <v>JUNÇÃO SIMPLES, PVC, SERIE NORMAL, ESGOTO PREDIAL, DN 100 X 50 MM, JUNTA ELÁSTICA, FORNECIDO E INSTALADO EM RAMAL DE DESCARGA OU RAMAL DE ESGOTO SANITÁRIO. AF_12/2014</v>
          </cell>
          <cell r="E27" t="str">
            <v>UN</v>
          </cell>
          <cell r="F27">
            <v>2</v>
          </cell>
          <cell r="G27">
            <v>16.669999999999998</v>
          </cell>
          <cell r="H27">
            <v>20.84</v>
          </cell>
          <cell r="I27">
            <v>41.68</v>
          </cell>
          <cell r="J27">
            <v>0.25</v>
          </cell>
        </row>
        <row r="28">
          <cell r="A28" t="str">
            <v>7.1.13</v>
          </cell>
          <cell r="B28">
            <v>89785</v>
          </cell>
          <cell r="C28" t="str">
            <v>SINAPI SERVIÇO</v>
          </cell>
          <cell r="D28" t="str">
            <v>JUNÇÃO SIMPLES, PVC, SERIE NORMAL, ESGOTO PREDIAL, DN 50 X 50 MM, JUNTA ELÁSTICA, FORNECIDO E INSTALADO EM RAMAL DE DESCARGA OU RAMAL DE ESGOTO SANITÁRIO. AF_12/2014</v>
          </cell>
          <cell r="E28" t="str">
            <v>UN</v>
          </cell>
          <cell r="F28">
            <v>23</v>
          </cell>
          <cell r="G28">
            <v>13.32</v>
          </cell>
          <cell r="H28">
            <v>16.649999999999999</v>
          </cell>
          <cell r="I28">
            <v>382.95</v>
          </cell>
          <cell r="J28">
            <v>0.25</v>
          </cell>
        </row>
        <row r="29">
          <cell r="A29" t="str">
            <v>7.1.14</v>
          </cell>
          <cell r="B29">
            <v>89856</v>
          </cell>
          <cell r="C29" t="str">
            <v>SINAPI SERVIÇO</v>
          </cell>
          <cell r="D29" t="str">
            <v>LUVA SIMPLES, PVC, SERIE NORMAL, ESGOTO PREDIAL, DN 100 MM, JUNTA ELÁSTICA, FORNECIDO E INSTALADO EM SUBCOLETOR AÉREO DE ESGOTO SANITÁRIO. AF_12/2014</v>
          </cell>
          <cell r="E29" t="str">
            <v>UN</v>
          </cell>
          <cell r="F29">
            <v>36</v>
          </cell>
          <cell r="G29">
            <v>10.49</v>
          </cell>
          <cell r="H29">
            <v>13.11</v>
          </cell>
          <cell r="I29">
            <v>471.96</v>
          </cell>
          <cell r="J29">
            <v>0.25</v>
          </cell>
        </row>
        <row r="30">
          <cell r="A30" t="str">
            <v>7.1.15</v>
          </cell>
          <cell r="B30" t="str">
            <v>COMPS27021</v>
          </cell>
          <cell r="C30" t="str">
            <v>COMPOSIÇÃO</v>
          </cell>
          <cell r="D30" t="str">
            <v>FORNECIMENTO E INSTALAÇÃO DE GRELHA HEMISFÉRICO FLEXIVEL /FAB.: TIGRE OU EQUIVANTE TÉCNICO</v>
          </cell>
          <cell r="E30" t="str">
            <v>PÇ</v>
          </cell>
          <cell r="F30">
            <v>5</v>
          </cell>
          <cell r="G30">
            <v>21.82</v>
          </cell>
          <cell r="H30">
            <v>27.28</v>
          </cell>
          <cell r="I30">
            <v>136.4</v>
          </cell>
          <cell r="J30">
            <v>0.25</v>
          </cell>
        </row>
        <row r="31">
          <cell r="A31">
            <v>0</v>
          </cell>
          <cell r="B31">
            <v>0</v>
          </cell>
          <cell r="C31">
            <v>0</v>
          </cell>
          <cell r="D31" t="str">
            <v/>
          </cell>
          <cell r="E31" t="str">
            <v/>
          </cell>
          <cell r="F31">
            <v>0</v>
          </cell>
          <cell r="G31" t="str">
            <v/>
          </cell>
          <cell r="H31" t="str">
            <v/>
          </cell>
          <cell r="I31">
            <v>0</v>
          </cell>
          <cell r="J31">
            <v>0</v>
          </cell>
        </row>
        <row r="32">
          <cell r="A32" t="str">
            <v>7.2</v>
          </cell>
          <cell r="B32">
            <v>0</v>
          </cell>
          <cell r="C32">
            <v>0</v>
          </cell>
          <cell r="D32" t="str">
            <v>ÁGUA FRIA</v>
          </cell>
          <cell r="E32" t="str">
            <v/>
          </cell>
          <cell r="F32">
            <v>0</v>
          </cell>
          <cell r="G32" t="str">
            <v/>
          </cell>
          <cell r="H32" t="str">
            <v/>
          </cell>
          <cell r="I32">
            <v>0</v>
          </cell>
          <cell r="J32">
            <v>0</v>
          </cell>
        </row>
        <row r="33">
          <cell r="A33">
            <v>0</v>
          </cell>
          <cell r="B33">
            <v>0</v>
          </cell>
          <cell r="C33">
            <v>0</v>
          </cell>
          <cell r="D33" t="str">
            <v/>
          </cell>
          <cell r="E33" t="str">
            <v/>
          </cell>
          <cell r="F33">
            <v>0</v>
          </cell>
          <cell r="G33" t="str">
            <v/>
          </cell>
          <cell r="H33" t="str">
            <v/>
          </cell>
          <cell r="I33">
            <v>0</v>
          </cell>
          <cell r="J33">
            <v>0</v>
          </cell>
        </row>
        <row r="34">
          <cell r="A34" t="str">
            <v>7.2.1</v>
          </cell>
          <cell r="B34">
            <v>0</v>
          </cell>
          <cell r="C34">
            <v>0</v>
          </cell>
          <cell r="D34" t="str">
            <v>TUBULAÇÃO</v>
          </cell>
          <cell r="E34" t="str">
            <v/>
          </cell>
          <cell r="F34">
            <v>0</v>
          </cell>
          <cell r="G34" t="str">
            <v/>
          </cell>
          <cell r="H34" t="str">
            <v/>
          </cell>
          <cell r="I34">
            <v>0</v>
          </cell>
          <cell r="J34">
            <v>0</v>
          </cell>
        </row>
        <row r="35">
          <cell r="A35" t="str">
            <v>7.2.1.1</v>
          </cell>
          <cell r="B35">
            <v>89449</v>
          </cell>
          <cell r="C35" t="str">
            <v>SINAPI SERVIÇO</v>
          </cell>
          <cell r="D35" t="str">
            <v>TUBO, PVC, SOLDÁVEL, DN 50MM, INSTALADO EM PRUMADA DE ÁGUA   FORNECIMENTO E INSTALAÇÃO. AF_12/2014_P</v>
          </cell>
          <cell r="E35" t="str">
            <v>M</v>
          </cell>
          <cell r="F35">
            <v>3.6</v>
          </cell>
          <cell r="G35">
            <v>10.73</v>
          </cell>
          <cell r="H35">
            <v>13.41</v>
          </cell>
          <cell r="I35">
            <v>48.28</v>
          </cell>
          <cell r="J35">
            <v>0.25</v>
          </cell>
        </row>
        <row r="36">
          <cell r="A36" t="str">
            <v>7.2.1.2</v>
          </cell>
          <cell r="B36">
            <v>89448</v>
          </cell>
          <cell r="C36" t="str">
            <v>SINAPI SERVIÇO</v>
          </cell>
          <cell r="D36" t="str">
            <v>TUBO, PVC, SOLDÁVEL, DN 40MM, INSTALADO EM PRUMADA DE ÁGUA   FORNECIMENTO E INSTALAÇÃO. AF_12/2014_P</v>
          </cell>
          <cell r="E36" t="str">
            <v>M</v>
          </cell>
          <cell r="F36">
            <v>23.4</v>
          </cell>
          <cell r="G36">
            <v>8.67</v>
          </cell>
          <cell r="H36">
            <v>10.84</v>
          </cell>
          <cell r="I36">
            <v>253.66</v>
          </cell>
          <cell r="J36">
            <v>0.25</v>
          </cell>
        </row>
        <row r="37">
          <cell r="A37" t="str">
            <v>7.2.1.3</v>
          </cell>
          <cell r="B37">
            <v>89402</v>
          </cell>
          <cell r="C37" t="str">
            <v>SINAPI SERVIÇO</v>
          </cell>
          <cell r="D37" t="str">
            <v>TUBO, PVC, SOLDÁVEL, DN 25MM, INSTALADO EM RAMAL DE DISTRIBUIÇÃO DE ÁGUA  FORNECIMENTO E INSTALAÇÃO. AF_12/2014_P</v>
          </cell>
          <cell r="E37" t="str">
            <v>M</v>
          </cell>
          <cell r="F37">
            <v>157.19999999999999</v>
          </cell>
          <cell r="G37">
            <v>5.64</v>
          </cell>
          <cell r="H37">
            <v>7.05</v>
          </cell>
          <cell r="I37">
            <v>1108.26</v>
          </cell>
          <cell r="J37">
            <v>0.25</v>
          </cell>
        </row>
        <row r="38">
          <cell r="A38" t="str">
            <v>7.2.1.4</v>
          </cell>
          <cell r="B38">
            <v>89401</v>
          </cell>
          <cell r="C38" t="str">
            <v>SINAPI SERVIÇO</v>
          </cell>
          <cell r="D38" t="str">
            <v>TUBO, PVC, SOLDÁVEL, DN 20MM, INSTALADO EM RAMAL DE DISTRIBUIÇÃO DE ÁG   UA     FORNECIMENTO E INSTALAÇÃO. AF_12/2014_P</v>
          </cell>
          <cell r="E38" t="str">
            <v>M</v>
          </cell>
          <cell r="F38">
            <v>18.600000000000001</v>
          </cell>
          <cell r="G38">
            <v>4.57</v>
          </cell>
          <cell r="H38">
            <v>5.71</v>
          </cell>
          <cell r="I38">
            <v>106.21</v>
          </cell>
          <cell r="J38">
            <v>0.25</v>
          </cell>
        </row>
        <row r="39">
          <cell r="A39" t="str">
            <v>7.2.1.5</v>
          </cell>
          <cell r="B39" t="str">
            <v>COMPS27030</v>
          </cell>
          <cell r="C39" t="str">
            <v>COMPOSIÇÃO</v>
          </cell>
          <cell r="D39" t="str">
            <v>ADAPTADOR DE PVC RÍGIDO SOLDÁVEL CURTO C/ BOLSA E ROSCA P/ REGISTRO DIÂM =  40MMX1.1/4" - FORNECIMENTO E INSTALAÇÃO</v>
          </cell>
          <cell r="E39" t="str">
            <v>PÇ</v>
          </cell>
          <cell r="F39">
            <v>3</v>
          </cell>
          <cell r="G39">
            <v>11.06</v>
          </cell>
          <cell r="H39">
            <v>13.83</v>
          </cell>
          <cell r="I39">
            <v>41.49</v>
          </cell>
          <cell r="J39">
            <v>0.25</v>
          </cell>
        </row>
        <row r="40">
          <cell r="A40" t="str">
            <v>7.2.1.6</v>
          </cell>
          <cell r="B40" t="str">
            <v>COMPS27031</v>
          </cell>
          <cell r="C40" t="str">
            <v>COMPOSIÇÃO</v>
          </cell>
          <cell r="D40" t="str">
            <v>ADAPTADOR DE PVC RÍGIDO SOLDÁVEL CURTO C/ BOLSA E ROSCA P/ REGISTRO DIÂM =  25MMX3/4"  - FORNECIMENTO E INSTALAÇÃO</v>
          </cell>
          <cell r="E40" t="str">
            <v>PÇ</v>
          </cell>
          <cell r="F40">
            <v>22</v>
          </cell>
          <cell r="G40">
            <v>6.07</v>
          </cell>
          <cell r="H40">
            <v>7.59</v>
          </cell>
          <cell r="I40">
            <v>166.98</v>
          </cell>
          <cell r="J40">
            <v>0.25</v>
          </cell>
        </row>
        <row r="41">
          <cell r="A41" t="str">
            <v>7.2.1.7</v>
          </cell>
          <cell r="B41" t="str">
            <v>COMPS27043</v>
          </cell>
          <cell r="C41" t="str">
            <v>COMPOSIÇÃO</v>
          </cell>
          <cell r="D41" t="str">
            <v>BUCHA DE REDUÇÃO CURTA DE PVC RÍGIDO SOLDÁVEL, MARROM, DIÂM = 40 X 25MM  - FORNECIMENTO E INSTALAÇÃO</v>
          </cell>
          <cell r="E41" t="str">
            <v>PÇ</v>
          </cell>
          <cell r="F41">
            <v>1</v>
          </cell>
          <cell r="G41">
            <v>6.0399999999999991</v>
          </cell>
          <cell r="H41">
            <v>7.55</v>
          </cell>
          <cell r="I41">
            <v>7.55</v>
          </cell>
          <cell r="J41">
            <v>0.25</v>
          </cell>
        </row>
        <row r="42">
          <cell r="A42" t="str">
            <v>7.2.1.8</v>
          </cell>
          <cell r="B42" t="str">
            <v>COMPS27032</v>
          </cell>
          <cell r="C42" t="str">
            <v>COMPOSIÇÃO</v>
          </cell>
          <cell r="D42" t="str">
            <v>BUCHA DE REDUÇÃO CURTA DE PVC RÍGIDO SOLDÁVEL, MARROM, DIÂM = 25 X 20MM  - FORNECIMENTO E INSTALAÇÃO</v>
          </cell>
          <cell r="E42" t="str">
            <v>PÇ</v>
          </cell>
          <cell r="F42">
            <v>5</v>
          </cell>
          <cell r="G42">
            <v>3.4700000000000006</v>
          </cell>
          <cell r="H42">
            <v>4.34</v>
          </cell>
          <cell r="I42">
            <v>21.7</v>
          </cell>
          <cell r="J42">
            <v>0.25</v>
          </cell>
        </row>
        <row r="43">
          <cell r="A43" t="str">
            <v>7.2.1.9</v>
          </cell>
          <cell r="B43">
            <v>89501</v>
          </cell>
          <cell r="C43" t="str">
            <v>SINAPI SERVIÇO</v>
          </cell>
          <cell r="D43" t="str">
            <v>JOELHO 90 GRAUS, PVC, SOLDÁVEL, DN 50MM, INSTALADO EM PRUMADA DE ÁGUA    FORNECIMENTO E INSTALAÇÃO. AF_12/2014_P</v>
          </cell>
          <cell r="E43" t="str">
            <v>UN</v>
          </cell>
          <cell r="F43">
            <v>2</v>
          </cell>
          <cell r="G43">
            <v>8.4700000000000006</v>
          </cell>
          <cell r="H43">
            <v>10.59</v>
          </cell>
          <cell r="I43">
            <v>21.18</v>
          </cell>
          <cell r="J43">
            <v>0.25</v>
          </cell>
        </row>
        <row r="44">
          <cell r="A44" t="str">
            <v>7.2.1.10</v>
          </cell>
          <cell r="B44">
            <v>89497</v>
          </cell>
          <cell r="C44" t="str">
            <v>SINAPI SERVIÇO</v>
          </cell>
          <cell r="D44" t="str">
            <v>JOELHO 90 GRAUS, PVC, SOLDÁVEL, DN 40MM, INSTALADO EM PRUMADA DE ÁGUA   FORNECIMENTO E INSTALAÇÃO. AF_12/2014_P</v>
          </cell>
          <cell r="E44" t="str">
            <v>UN</v>
          </cell>
          <cell r="F44">
            <v>5</v>
          </cell>
          <cell r="G44">
            <v>6.83</v>
          </cell>
          <cell r="H44">
            <v>8.5399999999999991</v>
          </cell>
          <cell r="I44">
            <v>42.7</v>
          </cell>
          <cell r="J44">
            <v>0.25</v>
          </cell>
        </row>
        <row r="45">
          <cell r="A45" t="str">
            <v>7.2.1.11</v>
          </cell>
          <cell r="B45">
            <v>89408</v>
          </cell>
          <cell r="C45" t="str">
            <v>SINAPI SERVIÇO</v>
          </cell>
          <cell r="D45" t="str">
            <v>JOELHO 90 GRAUS, PVC, SOLDÁVEL, DN 25MM, INSTALADO EM RAMAL DE DISTRIBUIÇÃO DE ÁGUA FORNECIMENTO E INSTALAÇÃO. AF_12/2014_P</v>
          </cell>
          <cell r="E45" t="str">
            <v>UN</v>
          </cell>
          <cell r="F45">
            <v>38</v>
          </cell>
          <cell r="G45">
            <v>3.6</v>
          </cell>
          <cell r="H45">
            <v>4.5</v>
          </cell>
          <cell r="I45">
            <v>171</v>
          </cell>
          <cell r="J45">
            <v>0.25</v>
          </cell>
        </row>
        <row r="46">
          <cell r="A46" t="str">
            <v>7.2.1.12</v>
          </cell>
          <cell r="B46">
            <v>89358</v>
          </cell>
          <cell r="C46" t="str">
            <v>SINAPI SERVIÇO</v>
          </cell>
          <cell r="D46" t="str">
            <v>JOELHO 90 GRAUS, PVC, SOLDÁVEL, DN 20MM, INSTALADO EM RAMAL OU SUB-RAMAL DE ÁGUA   FORNECIMENTO E INSTALAÇÃO . AF_12/2014_P</v>
          </cell>
          <cell r="E46" t="str">
            <v>UN</v>
          </cell>
          <cell r="F46">
            <v>2</v>
          </cell>
          <cell r="G46">
            <v>4.4400000000000004</v>
          </cell>
          <cell r="H46">
            <v>5.55</v>
          </cell>
          <cell r="I46">
            <v>11.1</v>
          </cell>
          <cell r="J46">
            <v>0.25</v>
          </cell>
        </row>
        <row r="47">
          <cell r="A47" t="str">
            <v>7.2.1.13</v>
          </cell>
          <cell r="B47">
            <v>90373</v>
          </cell>
          <cell r="C47" t="str">
            <v>SINAPI SERVIÇO</v>
          </cell>
          <cell r="D47" t="str">
            <v>JOELHO 90 GRAUS COM BUCHA DE LATÃO, PVC, SOLDÁVEL, DN 25MM, X 1/2" INSTALADO EM RAMAL OU SUB-RAMAL DE ÁGUA   FORNECIMENTO E INSTALAÇÃO . AF_03/2015_P</v>
          </cell>
          <cell r="E47" t="str">
            <v>UN</v>
          </cell>
          <cell r="F47">
            <v>1</v>
          </cell>
          <cell r="G47">
            <v>9.5399999999999991</v>
          </cell>
          <cell r="H47">
            <v>11.93</v>
          </cell>
          <cell r="I47">
            <v>11.93</v>
          </cell>
          <cell r="J47">
            <v>0.25</v>
          </cell>
        </row>
        <row r="48">
          <cell r="A48" t="str">
            <v>7.2.1.14</v>
          </cell>
          <cell r="B48">
            <v>89366</v>
          </cell>
          <cell r="C48" t="str">
            <v>SINAPI SERVIÇO</v>
          </cell>
          <cell r="D48" t="str">
            <v>JOELHO 90 GRAUS COM BUCHA DE LATÃO, PVC, SOLDÁVEL, DN 25MM, X 3/4 INSTALADO EM RAMAL OU SUB-RAMAL DE ÁGUA     FORNECIMENTO E INSTALAÇÃO . AF_12/2014_P</v>
          </cell>
          <cell r="E48" t="str">
            <v>UN</v>
          </cell>
          <cell r="F48">
            <v>4</v>
          </cell>
          <cell r="G48">
            <v>10.44</v>
          </cell>
          <cell r="H48">
            <v>13.05</v>
          </cell>
          <cell r="I48">
            <v>52.2</v>
          </cell>
          <cell r="J48">
            <v>0.25</v>
          </cell>
        </row>
        <row r="49">
          <cell r="A49" t="str">
            <v>7.2.1.15</v>
          </cell>
          <cell r="B49" t="str">
            <v>COMPS27044</v>
          </cell>
          <cell r="C49" t="str">
            <v>COMPOSIÇÃO</v>
          </cell>
          <cell r="D49" t="str">
            <v>JOELHO 90 GRAUS COM BUCHA DE LATÃO, PVC, SOLDÁVEL, DN 20MM, X 1/2 INSTALADO EM RAMAL OU SUB-RAMAL DE ÁGUA     FORNECIMENTO E INSTALAÇÃO . AF_12/2014_P</v>
          </cell>
          <cell r="E49" t="str">
            <v>PÇ</v>
          </cell>
          <cell r="F49">
            <v>18</v>
          </cell>
          <cell r="G49">
            <v>9.15</v>
          </cell>
          <cell r="H49">
            <v>11.44</v>
          </cell>
          <cell r="I49">
            <v>205.92</v>
          </cell>
          <cell r="J49">
            <v>0.25</v>
          </cell>
        </row>
        <row r="50">
          <cell r="A50" t="str">
            <v>7.2.1.16</v>
          </cell>
          <cell r="B50">
            <v>89381</v>
          </cell>
          <cell r="C50" t="str">
            <v>SINAPI SERVIÇO</v>
          </cell>
          <cell r="D50" t="str">
            <v>LUVA COM BUCHA DE LATÃO, PVC, SOLDÁVEL, DN 25MM X 3/4, INSTALADO EM RAMAL OU SUB-RAMAL DE ÁGUA   FORNECIMENTO E INSTALAÇÃO. AF_12/2014_P</v>
          </cell>
          <cell r="E50" t="str">
            <v>UN</v>
          </cell>
          <cell r="F50">
            <v>2</v>
          </cell>
          <cell r="G50">
            <v>7.69</v>
          </cell>
          <cell r="H50">
            <v>9.61</v>
          </cell>
          <cell r="I50">
            <v>19.22</v>
          </cell>
          <cell r="J50">
            <v>0.25</v>
          </cell>
        </row>
        <row r="51">
          <cell r="A51" t="str">
            <v>7.2.1.17</v>
          </cell>
          <cell r="B51">
            <v>89623</v>
          </cell>
          <cell r="C51" t="str">
            <v>SINAPI SERVIÇO</v>
          </cell>
          <cell r="D51" t="str">
            <v>TE, PVC, SOLDÁVEL, DN 40MM, INSTALADO EM PRUMADA DE ÁGUA   FORNECIMENTO E INSTALAÇÃO. AF_12/2014_P</v>
          </cell>
          <cell r="E51" t="str">
            <v>UN</v>
          </cell>
          <cell r="F51">
            <v>1</v>
          </cell>
          <cell r="G51">
            <v>13.08</v>
          </cell>
          <cell r="H51">
            <v>16.350000000000001</v>
          </cell>
          <cell r="I51">
            <v>16.350000000000001</v>
          </cell>
          <cell r="J51">
            <v>0.25</v>
          </cell>
        </row>
        <row r="52">
          <cell r="A52" t="str">
            <v>7.2.1.18</v>
          </cell>
          <cell r="B52">
            <v>89395</v>
          </cell>
          <cell r="C52" t="str">
            <v>SINAPI SERVIÇO</v>
          </cell>
          <cell r="D52" t="str">
            <v>TE, PVC, SOLDÁVEL, DN 25MM, INSTALADO EM RAMAL OU SUB-RAMAL DE ÁGUA FORNECIMENTO E INSTALAÇÃO. AF_12/2014_P</v>
          </cell>
          <cell r="E52" t="str">
            <v>UN</v>
          </cell>
          <cell r="F52">
            <v>18</v>
          </cell>
          <cell r="G52">
            <v>7.44</v>
          </cell>
          <cell r="H52">
            <v>9.3000000000000007</v>
          </cell>
          <cell r="I52">
            <v>167.4</v>
          </cell>
          <cell r="J52">
            <v>0.25</v>
          </cell>
        </row>
        <row r="53">
          <cell r="A53" t="str">
            <v>7.2.1.19</v>
          </cell>
          <cell r="B53">
            <v>89396</v>
          </cell>
          <cell r="C53" t="str">
            <v>SINAPI SERVIÇO</v>
          </cell>
          <cell r="D53" t="str">
            <v>TÊ COM BUCHA DE LATÃO NA BOLSA CENTRAL, PVC, SOLDÁVEL, DN 25MM X 1/2,   INSTALADO EM RAMAL OU SUB-RAMAL DE ÁGUA   FORNECIMENTO E INSTALAÇÃO.AF_12/2014_P</v>
          </cell>
          <cell r="E53" t="str">
            <v>UN</v>
          </cell>
          <cell r="F53">
            <v>2</v>
          </cell>
          <cell r="G53">
            <v>16.690000000000001</v>
          </cell>
          <cell r="H53">
            <v>20.86</v>
          </cell>
          <cell r="I53">
            <v>41.72</v>
          </cell>
          <cell r="J53">
            <v>0.25</v>
          </cell>
        </row>
        <row r="54">
          <cell r="A54" t="str">
            <v>7.2.1.20</v>
          </cell>
          <cell r="B54">
            <v>89397</v>
          </cell>
          <cell r="C54" t="str">
            <v>SINAPI SERVIÇO</v>
          </cell>
          <cell r="D54" t="str">
            <v>TÊ DE REDUÇÃO, PVC, SOLDÁVEL, DN 25MM X 20MM, INSTALADO EM RAMAL OU SUB-RAMAL DE ÁGUA   FORNECIMENTO E INSTALAÇÃO. AF_12/2014_P</v>
          </cell>
          <cell r="E54" t="str">
            <v>UN</v>
          </cell>
          <cell r="F54">
            <v>7</v>
          </cell>
          <cell r="G54">
            <v>9.25</v>
          </cell>
          <cell r="H54">
            <v>11.56</v>
          </cell>
          <cell r="I54">
            <v>80.92</v>
          </cell>
          <cell r="J54">
            <v>0.25</v>
          </cell>
        </row>
        <row r="55">
          <cell r="A55">
            <v>0</v>
          </cell>
          <cell r="B55">
            <v>0</v>
          </cell>
          <cell r="C55">
            <v>0</v>
          </cell>
          <cell r="D55" t="str">
            <v/>
          </cell>
          <cell r="E55" t="str">
            <v/>
          </cell>
          <cell r="F55">
            <v>0</v>
          </cell>
          <cell r="G55" t="str">
            <v/>
          </cell>
          <cell r="H55" t="str">
            <v/>
          </cell>
          <cell r="I55">
            <v>0</v>
          </cell>
          <cell r="J55">
            <v>0</v>
          </cell>
        </row>
        <row r="56">
          <cell r="A56" t="str">
            <v>7.2.2</v>
          </cell>
          <cell r="B56">
            <v>0</v>
          </cell>
          <cell r="C56">
            <v>0</v>
          </cell>
          <cell r="D56" t="str">
            <v>REGISTROS</v>
          </cell>
          <cell r="E56" t="str">
            <v/>
          </cell>
          <cell r="F56">
            <v>0</v>
          </cell>
          <cell r="G56" t="str">
            <v/>
          </cell>
          <cell r="H56" t="str">
            <v/>
          </cell>
          <cell r="I56">
            <v>0</v>
          </cell>
          <cell r="J56">
            <v>0</v>
          </cell>
        </row>
        <row r="57">
          <cell r="A57" t="str">
            <v>7.2.2.1</v>
          </cell>
          <cell r="B57" t="str">
            <v>74183/001</v>
          </cell>
          <cell r="C57" t="str">
            <v>SINAPI SERVIÇO</v>
          </cell>
          <cell r="D57" t="str">
            <v>REGISTRO GAVETA 1.1/4" BRUTO LATAO - FORNECIMENTO E INSTALACAO</v>
          </cell>
          <cell r="E57" t="str">
            <v>UN</v>
          </cell>
          <cell r="F57">
            <v>1</v>
          </cell>
          <cell r="G57">
            <v>77.34</v>
          </cell>
          <cell r="H57">
            <v>96.68</v>
          </cell>
          <cell r="I57">
            <v>96.68</v>
          </cell>
          <cell r="J57">
            <v>0.25</v>
          </cell>
        </row>
        <row r="58">
          <cell r="A58" t="str">
            <v>7.2.2.2</v>
          </cell>
          <cell r="B58">
            <v>89987</v>
          </cell>
          <cell r="C58" t="str">
            <v>SINAPI SERVIÇO</v>
          </cell>
          <cell r="D58" t="str">
            <v>REGISTRO DE GAVETA BRUTO, LATÃO, ROSCÁVEL, 3/4, COM ACABAMENTO E CANOPLA CROMADOS. FORNECIDO E INSTALADO EM RAMAL DE ÁGUA. AF_12/2014</v>
          </cell>
          <cell r="E58" t="str">
            <v>UN</v>
          </cell>
          <cell r="F58">
            <v>9</v>
          </cell>
          <cell r="G58">
            <v>68.58</v>
          </cell>
          <cell r="H58">
            <v>85.73</v>
          </cell>
          <cell r="I58">
            <v>771.57</v>
          </cell>
          <cell r="J58">
            <v>0.25</v>
          </cell>
        </row>
        <row r="59">
          <cell r="A59" t="str">
            <v>7.2.2.3</v>
          </cell>
          <cell r="B59">
            <v>89985</v>
          </cell>
          <cell r="C59" t="str">
            <v>SINAPI SERVIÇO</v>
          </cell>
          <cell r="D59" t="str">
            <v>REGISTRO DE PRESSÃO BRUTO, LATÃO, ROSCÁVEL, 3/4, COM ACABAMENTO E CANOPLA CROMADOS. FORNECIDO E INSTALADO EM RAMAL DE ÁGUA. AF_12/2014</v>
          </cell>
          <cell r="E59" t="str">
            <v>UN</v>
          </cell>
          <cell r="F59">
            <v>2</v>
          </cell>
          <cell r="G59">
            <v>65.099999999999994</v>
          </cell>
          <cell r="H59">
            <v>81.38</v>
          </cell>
          <cell r="I59">
            <v>162.76</v>
          </cell>
          <cell r="J59">
            <v>0.25</v>
          </cell>
        </row>
        <row r="60">
          <cell r="A60" t="str">
            <v>7.2.2.4</v>
          </cell>
          <cell r="B60" t="str">
            <v>COMPS27033</v>
          </cell>
          <cell r="C60" t="str">
            <v>COMPOSIÇÃO</v>
          </cell>
          <cell r="D60" t="str">
            <v>VALVULA DESCARGA 1 1/4" C/ REGISTRO - ACABAMENTO EM METAL CROMADO  - FORNECIMENTO E INSTALAÇÃO</v>
          </cell>
          <cell r="E60" t="str">
            <v>PÇ</v>
          </cell>
          <cell r="F60">
            <v>1</v>
          </cell>
          <cell r="G60">
            <v>235.38</v>
          </cell>
          <cell r="H60">
            <v>294.23</v>
          </cell>
          <cell r="I60">
            <v>294.23</v>
          </cell>
          <cell r="J60">
            <v>0.25</v>
          </cell>
        </row>
        <row r="61">
          <cell r="A61" t="str">
            <v>7.2.2.5</v>
          </cell>
          <cell r="B61" t="str">
            <v>COMPS27034</v>
          </cell>
          <cell r="C61" t="str">
            <v>COMPOSIÇÃO</v>
          </cell>
          <cell r="D61" t="str">
            <v>BOMBA CENTRIFUGA MONOESTAGIO ROTOR FECHADO 1CV - SCHNAIDER ASP-56 S OU EQUIVALENTE TECNICO - FORNECIMENTO E INSTALAÇÃO</v>
          </cell>
          <cell r="E61" t="str">
            <v>UNID.</v>
          </cell>
          <cell r="F61">
            <v>2</v>
          </cell>
          <cell r="G61">
            <v>942.8</v>
          </cell>
          <cell r="H61">
            <v>1178.5</v>
          </cell>
          <cell r="I61">
            <v>2357</v>
          </cell>
          <cell r="J61">
            <v>0.25</v>
          </cell>
        </row>
        <row r="62">
          <cell r="A62">
            <v>0</v>
          </cell>
          <cell r="B62">
            <v>0</v>
          </cell>
          <cell r="C62">
            <v>0</v>
          </cell>
          <cell r="D62" t="str">
            <v/>
          </cell>
          <cell r="E62" t="str">
            <v/>
          </cell>
          <cell r="F62">
            <v>0</v>
          </cell>
          <cell r="G62" t="str">
            <v/>
          </cell>
          <cell r="H62" t="str">
            <v/>
          </cell>
          <cell r="I62">
            <v>0</v>
          </cell>
          <cell r="J62">
            <v>0</v>
          </cell>
        </row>
        <row r="63">
          <cell r="A63" t="str">
            <v>7.3</v>
          </cell>
          <cell r="B63">
            <v>0</v>
          </cell>
          <cell r="C63">
            <v>0</v>
          </cell>
          <cell r="D63" t="str">
            <v>ESGOTO</v>
          </cell>
          <cell r="E63" t="str">
            <v/>
          </cell>
          <cell r="F63">
            <v>0</v>
          </cell>
          <cell r="G63" t="str">
            <v/>
          </cell>
          <cell r="H63" t="str">
            <v/>
          </cell>
          <cell r="I63">
            <v>0</v>
          </cell>
          <cell r="J63">
            <v>0</v>
          </cell>
        </row>
        <row r="64">
          <cell r="A64">
            <v>0</v>
          </cell>
          <cell r="B64">
            <v>0</v>
          </cell>
          <cell r="C64">
            <v>0</v>
          </cell>
          <cell r="D64" t="str">
            <v/>
          </cell>
          <cell r="E64" t="str">
            <v/>
          </cell>
          <cell r="F64">
            <v>0</v>
          </cell>
          <cell r="G64" t="str">
            <v/>
          </cell>
          <cell r="H64" t="str">
            <v/>
          </cell>
          <cell r="I64">
            <v>0</v>
          </cell>
          <cell r="J64">
            <v>0</v>
          </cell>
        </row>
        <row r="65">
          <cell r="A65" t="str">
            <v>7.3.1</v>
          </cell>
          <cell r="B65">
            <v>0</v>
          </cell>
          <cell r="C65">
            <v>0</v>
          </cell>
          <cell r="D65" t="str">
            <v>TUBULAÇÃO</v>
          </cell>
          <cell r="E65" t="str">
            <v/>
          </cell>
          <cell r="F65">
            <v>0</v>
          </cell>
          <cell r="G65" t="str">
            <v/>
          </cell>
          <cell r="H65" t="str">
            <v/>
          </cell>
          <cell r="I65">
            <v>0</v>
          </cell>
          <cell r="J65">
            <v>0</v>
          </cell>
        </row>
        <row r="66">
          <cell r="A66" t="str">
            <v>7.3.1.1</v>
          </cell>
          <cell r="B66">
            <v>89800</v>
          </cell>
          <cell r="C66" t="str">
            <v>SINAPI SERVIÇO</v>
          </cell>
          <cell r="D66" t="str">
            <v>TUBO PVC, SERIE NORMAL, ESGOTO PREDIAL, DN 100 MM, FORNECIDO E INSTALADO EM PRUMADA DE ESGOTO SANITÁRIO OU VENTILAÇÃO. AF_12/2014_P</v>
          </cell>
          <cell r="E66" t="str">
            <v>M</v>
          </cell>
          <cell r="F66">
            <v>61.69</v>
          </cell>
          <cell r="G66">
            <v>14</v>
          </cell>
          <cell r="H66">
            <v>17.5</v>
          </cell>
          <cell r="I66">
            <v>1079.58</v>
          </cell>
          <cell r="J66">
            <v>0.25</v>
          </cell>
        </row>
        <row r="67">
          <cell r="A67" t="str">
            <v>7.3.1.2</v>
          </cell>
          <cell r="B67" t="str">
            <v>COMPS27036</v>
          </cell>
          <cell r="C67" t="str">
            <v>COMPOSIÇÃO</v>
          </cell>
          <cell r="D67" t="str">
            <v>FORNECIMENTO E INSTALAÇÃO DE TUBO PVC ESG SERIE NORMAL  75MM</v>
          </cell>
          <cell r="E67" t="str">
            <v>M</v>
          </cell>
          <cell r="F67">
            <v>23.83</v>
          </cell>
          <cell r="G67">
            <v>21.97</v>
          </cell>
          <cell r="H67">
            <v>27.46</v>
          </cell>
          <cell r="I67">
            <v>654.37</v>
          </cell>
          <cell r="J67">
            <v>0.25</v>
          </cell>
        </row>
        <row r="68">
          <cell r="A68" t="str">
            <v>7.3.1.3</v>
          </cell>
          <cell r="B68" t="str">
            <v>COMPS27018</v>
          </cell>
          <cell r="C68" t="str">
            <v>COMPOSIÇÃO</v>
          </cell>
          <cell r="D68" t="str">
            <v>FORNECIMENTO E INSTALAÇÃO DE TUBO PVC ESG SERIE NORMAL  50MM</v>
          </cell>
          <cell r="E68" t="str">
            <v>M</v>
          </cell>
          <cell r="F68">
            <v>14.23</v>
          </cell>
          <cell r="G68">
            <v>14.190000000000001</v>
          </cell>
          <cell r="H68">
            <v>17.739999999999998</v>
          </cell>
          <cell r="I68">
            <v>252.44</v>
          </cell>
          <cell r="J68">
            <v>0.25</v>
          </cell>
        </row>
        <row r="69">
          <cell r="A69" t="str">
            <v>7.3.1.4</v>
          </cell>
          <cell r="B69" t="str">
            <v>COMPS27017</v>
          </cell>
          <cell r="C69" t="str">
            <v>COMPOSIÇÃO</v>
          </cell>
          <cell r="D69" t="str">
            <v>FORNECIMENTO E INSTALAÇÃO DE TUBO PVC ESG SERIE NORMAL  40MM</v>
          </cell>
          <cell r="E69" t="str">
            <v>M</v>
          </cell>
          <cell r="F69">
            <v>8.34</v>
          </cell>
          <cell r="G69">
            <v>10.11</v>
          </cell>
          <cell r="H69">
            <v>12.64</v>
          </cell>
          <cell r="I69">
            <v>105.42</v>
          </cell>
          <cell r="J69">
            <v>0.25</v>
          </cell>
        </row>
        <row r="70">
          <cell r="A70" t="str">
            <v>7.3.1.5</v>
          </cell>
          <cell r="B70" t="str">
            <v>COMPS27020</v>
          </cell>
          <cell r="C70" t="str">
            <v>COMPOSIÇÃO</v>
          </cell>
          <cell r="D70" t="str">
            <v>FORNECIMENTO E INSTALAÇÃO DE CAIXA SIFONADA DE 100X150X50MM /FAB.: TIGRE OU EQUIVANTE TÉCNICO, INCLUSIVE GRELHA E PORTA GRELHA</v>
          </cell>
          <cell r="E70" t="str">
            <v>PÇ</v>
          </cell>
          <cell r="F70">
            <v>12</v>
          </cell>
          <cell r="G70">
            <v>25.160000000000004</v>
          </cell>
          <cell r="H70">
            <v>31.45</v>
          </cell>
          <cell r="I70">
            <v>377.4</v>
          </cell>
          <cell r="J70">
            <v>0.25</v>
          </cell>
        </row>
        <row r="71">
          <cell r="A71" t="str">
            <v>7.3.1.6</v>
          </cell>
          <cell r="B71">
            <v>89810</v>
          </cell>
          <cell r="C71" t="str">
            <v>SINAPI SERVIÇO</v>
          </cell>
          <cell r="D71" t="str">
            <v>JOELHO 45 GRAUS, PVC, SERIE NORMAL, ESGOTO PREDIAL, DN 100 MM, JUNTA E   LÁSTICA, FORNECIDO E INSTALADO EM PRUMADA DE ESGOTO SANITÁRIO OU VENTILAÇÃO. AF_12/2014</v>
          </cell>
          <cell r="E71" t="str">
            <v>UN</v>
          </cell>
          <cell r="F71">
            <v>8</v>
          </cell>
          <cell r="G71">
            <v>11.77</v>
          </cell>
          <cell r="H71">
            <v>14.71</v>
          </cell>
          <cell r="I71">
            <v>117.68</v>
          </cell>
          <cell r="J71">
            <v>0.25</v>
          </cell>
        </row>
        <row r="72">
          <cell r="A72" t="str">
            <v>7.3.1.7</v>
          </cell>
          <cell r="B72">
            <v>89802</v>
          </cell>
          <cell r="C72" t="str">
            <v>SINAPI SERVIÇO</v>
          </cell>
          <cell r="D72" t="str">
            <v>JOELHO 45 GRAUS, PVC, SERIE NORMAL, ESGOTO PREDIAL, DN 50 MM, JUNTA ELÁSTICA, FORNECIDO E INSTALADO EM PRUMADA DE ESGOTO SANITÁRIO OU VENTILAÇÃO. AF_12/2014</v>
          </cell>
          <cell r="E72" t="str">
            <v>UN</v>
          </cell>
          <cell r="F72">
            <v>8</v>
          </cell>
          <cell r="G72">
            <v>4.93</v>
          </cell>
          <cell r="H72">
            <v>6.16</v>
          </cell>
          <cell r="I72">
            <v>49.28</v>
          </cell>
          <cell r="J72">
            <v>0.25</v>
          </cell>
        </row>
        <row r="73">
          <cell r="A73" t="str">
            <v>7.3.1.8</v>
          </cell>
          <cell r="B73">
            <v>89726</v>
          </cell>
          <cell r="C73" t="str">
            <v>SINAPI SERVIÇO</v>
          </cell>
          <cell r="D73" t="str">
            <v>JOELHO 45 GRAUS, PVC, SERIE NORMAL, ESGOTO PREDIAL, DN 40 MM, JUNTA SOLDÁVEL, FORNECIDO E INSTALADO EM RAMAL DE DESCARGA OU RAMAL DE ESGOTOSANITÁRIO. AF_12/2014_P</v>
          </cell>
          <cell r="E73" t="str">
            <v>UN</v>
          </cell>
          <cell r="F73">
            <v>9</v>
          </cell>
          <cell r="G73">
            <v>5.21</v>
          </cell>
          <cell r="H73">
            <v>6.51</v>
          </cell>
          <cell r="I73">
            <v>58.59</v>
          </cell>
          <cell r="J73">
            <v>0.25</v>
          </cell>
        </row>
        <row r="74">
          <cell r="A74" t="str">
            <v>7.3.1.9</v>
          </cell>
          <cell r="B74">
            <v>89809</v>
          </cell>
          <cell r="C74" t="str">
            <v>SINAPI SERVIÇO</v>
          </cell>
          <cell r="D74" t="str">
            <v>JOELHO 90 GRAUS, PVC, SERIE NORMAL, ESGOTO PREDIAL, DN 100 MM, JUNTA ELÁSTICA, FORNECIDO E INSTALADO EM PRUMADA DE ESGOTO SANITÁRIO OU VENTILAÇÃO. AF_12/2014</v>
          </cell>
          <cell r="E74" t="str">
            <v>UN</v>
          </cell>
          <cell r="F74">
            <v>7</v>
          </cell>
          <cell r="G74">
            <v>12.28</v>
          </cell>
          <cell r="H74">
            <v>15.35</v>
          </cell>
          <cell r="I74">
            <v>107.45</v>
          </cell>
          <cell r="J74">
            <v>0.25</v>
          </cell>
        </row>
        <row r="75">
          <cell r="A75" t="str">
            <v>7.3.1.10</v>
          </cell>
          <cell r="B75">
            <v>89801</v>
          </cell>
          <cell r="C75" t="str">
            <v>SINAPI SERVIÇO</v>
          </cell>
          <cell r="D75" t="str">
            <v>JOELHO 90 GRAUS, PVC, SERIE NORMAL, ESGOTO PREDIAL, DN 50 MM, JUNTA ELÁSTICA, FORNECIDO E INSTALADO EM PRUMADA DE ESGOTO SANITÁRIO OU VENTILAÇÃO. AF_12/2014</v>
          </cell>
          <cell r="E75" t="str">
            <v>UN</v>
          </cell>
          <cell r="F75">
            <v>14</v>
          </cell>
          <cell r="G75">
            <v>4.37</v>
          </cell>
          <cell r="H75">
            <v>5.46</v>
          </cell>
          <cell r="I75">
            <v>76.44</v>
          </cell>
          <cell r="J75">
            <v>0.25</v>
          </cell>
        </row>
        <row r="76">
          <cell r="A76" t="str">
            <v>7.3.1.11</v>
          </cell>
          <cell r="B76">
            <v>89724</v>
          </cell>
          <cell r="C76" t="str">
            <v>SINAPI SERVIÇO</v>
          </cell>
          <cell r="D76" t="str">
            <v>JOELHO 90 GRAUS, PVC, SERIE NORMAL, ESGOTO PREDIAL, DN 40 MM, JUNTA SOLDÁVEL, FORNECIDO E INSTALADO EM RAMAL DE DESCARGA OU RAMAL DE ESGOTOSANITÁRIO. AF_12/2014_P</v>
          </cell>
          <cell r="E76" t="str">
            <v>UN</v>
          </cell>
          <cell r="F76">
            <v>7</v>
          </cell>
          <cell r="G76">
            <v>4.99</v>
          </cell>
          <cell r="H76">
            <v>6.24</v>
          </cell>
          <cell r="I76">
            <v>43.68</v>
          </cell>
          <cell r="J76">
            <v>0.25</v>
          </cell>
        </row>
        <row r="77">
          <cell r="A77" t="str">
            <v>7.3.1.12</v>
          </cell>
          <cell r="B77" t="str">
            <v>COMPS27035</v>
          </cell>
          <cell r="C77" t="str">
            <v>COMPOSIÇÃO</v>
          </cell>
          <cell r="D77" t="str">
            <v>JOELHO PVC 90° ESGOTO COM ANEL LABIAL - 40MM X 38MM - BRANCO - FORNECIMENTO E INSTALAÇÃO</v>
          </cell>
          <cell r="E77" t="str">
            <v>UNID.</v>
          </cell>
          <cell r="F77">
            <v>7</v>
          </cell>
          <cell r="G77">
            <v>10.25</v>
          </cell>
          <cell r="H77">
            <v>12.81</v>
          </cell>
          <cell r="I77">
            <v>89.67</v>
          </cell>
          <cell r="J77">
            <v>0.25</v>
          </cell>
        </row>
        <row r="78">
          <cell r="A78" t="str">
            <v>7.3.1.13</v>
          </cell>
          <cell r="B78" t="str">
            <v>COMPS27046</v>
          </cell>
          <cell r="C78" t="str">
            <v>COMPOSIÇÃO</v>
          </cell>
          <cell r="D78" t="str">
            <v>JUNÇÃO SIMPLES, PVC, SERIE NORMAL, ESGOTO PREDIAL, DN 100 X 50 MM, JUNTA ELÁSTICA, FORNECIDO E INSTALADO EM PRUMADA DE ESGOTO SANITÁRIO OUVENTILAÇÃO. AF_12/2014</v>
          </cell>
          <cell r="E78" t="str">
            <v>UN</v>
          </cell>
          <cell r="F78">
            <v>9</v>
          </cell>
          <cell r="G78">
            <v>18.369999999999997</v>
          </cell>
          <cell r="H78">
            <v>22.96</v>
          </cell>
          <cell r="I78">
            <v>206.64</v>
          </cell>
          <cell r="J78">
            <v>0.25</v>
          </cell>
        </row>
        <row r="79">
          <cell r="A79" t="str">
            <v>7.3.1.14</v>
          </cell>
          <cell r="B79">
            <v>89834</v>
          </cell>
          <cell r="C79" t="str">
            <v>SINAPI SERVIÇO</v>
          </cell>
          <cell r="D79" t="str">
            <v>JUNÇÃO SIMPLES, PVC, SERIE NORMAL, ESGOTO PREDIAL, DN 100 X 100 MM, JUNTA ELÁSTICA, FORNECIDO E INSTALADO EM PRUMADA DE ESGOTO SANITÁRIO OUVENTILAÇÃO. AF_12/2014</v>
          </cell>
          <cell r="E79" t="str">
            <v>UN</v>
          </cell>
          <cell r="F79">
            <v>2</v>
          </cell>
          <cell r="G79">
            <v>25.35</v>
          </cell>
          <cell r="H79">
            <v>31.69</v>
          </cell>
          <cell r="I79">
            <v>63.38</v>
          </cell>
          <cell r="J79">
            <v>0.25</v>
          </cell>
        </row>
        <row r="80">
          <cell r="A80" t="str">
            <v>7.3.1.15</v>
          </cell>
          <cell r="B80">
            <v>89827</v>
          </cell>
          <cell r="C80" t="str">
            <v>SINAPI SERVIÇO</v>
          </cell>
          <cell r="D80" t="str">
            <v>JUNÇÃO SIMPLES, PVC, SERIE NORMAL, ESGOTO PREDIAL, DN 50 X 50 MM, JUNTA ELÁSTICA, FORNECIDO E INSTALADO EM PRUMADA DE ESGOTO SANITÁRIO OU VENTILAÇÃO. AF_12/2014</v>
          </cell>
          <cell r="E80" t="str">
            <v>UN</v>
          </cell>
          <cell r="F80">
            <v>1</v>
          </cell>
          <cell r="G80">
            <v>10.34</v>
          </cell>
          <cell r="H80">
            <v>12.93</v>
          </cell>
          <cell r="I80">
            <v>12.93</v>
          </cell>
          <cell r="J80">
            <v>0.25</v>
          </cell>
        </row>
        <row r="81">
          <cell r="A81" t="str">
            <v>7.3.1.16</v>
          </cell>
          <cell r="B81">
            <v>89821</v>
          </cell>
          <cell r="C81" t="str">
            <v>SINAPI SERVIÇO</v>
          </cell>
          <cell r="D81" t="str">
            <v>LUVA SIMPLES, PVC, SERIE NORMAL, ESGOTO PREDIAL, DN 100 MM, JUNTA ELÁSTICA, FORNECIDO E INSTALADO EM PRUMADA DE ESGOTO SANITÁRIO OU VENTILAÇÃO. AF_12/2014</v>
          </cell>
          <cell r="E81" t="str">
            <v>UN</v>
          </cell>
          <cell r="F81">
            <v>17</v>
          </cell>
          <cell r="G81">
            <v>8.33</v>
          </cell>
          <cell r="H81">
            <v>10.41</v>
          </cell>
          <cell r="I81">
            <v>176.97</v>
          </cell>
          <cell r="J81">
            <v>0.25</v>
          </cell>
        </row>
        <row r="82">
          <cell r="A82" t="str">
            <v>7.3.1.17</v>
          </cell>
          <cell r="B82">
            <v>89817</v>
          </cell>
          <cell r="C82" t="str">
            <v>SINAPI SERVIÇO</v>
          </cell>
          <cell r="D82" t="str">
            <v>LUVA SIMPLES, PVC, SERIE NORMAL, ESGOTO PREDIAL, DN 75 MM, JUNTA ELÁSTICA, FORNECIDO E INSTALADO EM PRUMADA DE ESGOTO SANITÁRIO OU VENTILAÇÃO. AF_12/2014</v>
          </cell>
          <cell r="E82" t="str">
            <v>UN</v>
          </cell>
          <cell r="F82">
            <v>6</v>
          </cell>
          <cell r="G82">
            <v>6.5</v>
          </cell>
          <cell r="H82">
            <v>8.1300000000000008</v>
          </cell>
          <cell r="I82">
            <v>48.78</v>
          </cell>
          <cell r="J82">
            <v>0.25</v>
          </cell>
        </row>
        <row r="83">
          <cell r="A83" t="str">
            <v>7.3.1.18</v>
          </cell>
          <cell r="B83">
            <v>89813</v>
          </cell>
          <cell r="C83" t="str">
            <v>SINAPI SERVIÇO</v>
          </cell>
          <cell r="D83" t="str">
            <v>LUVA SIMPLES, PVC, SERIE NORMAL, ESGOTO PREDIAL, DN 50 MM, JUNTA ELÁSTICA, FORNECIDO E INSTALADO EM PRUMADA DE ESGOTO SANITÁRIO OU VENTILAÇÃO. AF_12/2014</v>
          </cell>
          <cell r="E83" t="str">
            <v>UN</v>
          </cell>
          <cell r="F83">
            <v>10</v>
          </cell>
          <cell r="G83">
            <v>3.89</v>
          </cell>
          <cell r="H83">
            <v>4.8600000000000003</v>
          </cell>
          <cell r="I83">
            <v>48.6</v>
          </cell>
          <cell r="J83">
            <v>0.25</v>
          </cell>
        </row>
        <row r="84">
          <cell r="A84" t="str">
            <v>7.3.1.19</v>
          </cell>
          <cell r="B84" t="str">
            <v>COMPS27045</v>
          </cell>
          <cell r="C84" t="str">
            <v>COMPOSIÇÃO</v>
          </cell>
          <cell r="D84" t="str">
            <v>TE, PVC, SERIE NORMAL, ESGOTO PREDIAL, DN 75 X 50 MM, JUNTA ELÁSTICA, FORNECIDO E INSTALADO EM PRUMADA DE ESGOTO SANITÁRIO OU VENTILAÇÃO. AF_12/2014</v>
          </cell>
          <cell r="E84" t="str">
            <v>UN</v>
          </cell>
          <cell r="F84">
            <v>3</v>
          </cell>
          <cell r="G84">
            <v>18.099999999999998</v>
          </cell>
          <cell r="H84">
            <v>22.63</v>
          </cell>
          <cell r="I84">
            <v>67.89</v>
          </cell>
          <cell r="J84">
            <v>0.25</v>
          </cell>
        </row>
        <row r="85">
          <cell r="A85" t="str">
            <v>7.3.1.20</v>
          </cell>
          <cell r="B85">
            <v>89829</v>
          </cell>
          <cell r="C85" t="str">
            <v>SINAPI SERVIÇO</v>
          </cell>
          <cell r="D85" t="str">
            <v>TE, PVC, SERIE NORMAL, ESGOTO PREDIAL, DN 75 X 75 MM, JUNTA ELÁSTICA, FORNECIDO E INSTALADO EM PRUMADA DE ESGOTO SANITÁRIO OU VENTILAÇÃO. AF_12/2014</v>
          </cell>
          <cell r="E85" t="str">
            <v>UN</v>
          </cell>
          <cell r="F85">
            <v>3</v>
          </cell>
          <cell r="G85">
            <v>22.99</v>
          </cell>
          <cell r="H85">
            <v>28.74</v>
          </cell>
          <cell r="I85">
            <v>86.22</v>
          </cell>
          <cell r="J85">
            <v>0.25</v>
          </cell>
        </row>
        <row r="86">
          <cell r="A86" t="str">
            <v>7.3.1.21</v>
          </cell>
          <cell r="B86">
            <v>89825</v>
          </cell>
          <cell r="C86" t="str">
            <v>SINAPI SERVIÇO</v>
          </cell>
          <cell r="D86" t="str">
            <v>TE, PVC, SERIE NORMAL, ESGOTO PREDIAL, DN 50 X 50 MM, JUNTA ELÁSTICA,    FORNECIDO E INSTALADO EM PRUMADA DE ESGOTO SANITÁRIO OU VENTILAÇÃO. AF_12/2014</v>
          </cell>
          <cell r="E86" t="str">
            <v>UN</v>
          </cell>
          <cell r="F86">
            <v>10</v>
          </cell>
          <cell r="G86">
            <v>10.52</v>
          </cell>
          <cell r="H86">
            <v>13.15</v>
          </cell>
          <cell r="I86">
            <v>131.5</v>
          </cell>
          <cell r="J86">
            <v>0.25</v>
          </cell>
        </row>
        <row r="87">
          <cell r="A87">
            <v>0</v>
          </cell>
          <cell r="B87">
            <v>0</v>
          </cell>
          <cell r="C87">
            <v>0</v>
          </cell>
          <cell r="D87" t="str">
            <v/>
          </cell>
          <cell r="E87" t="str">
            <v/>
          </cell>
          <cell r="F87">
            <v>0</v>
          </cell>
          <cell r="G87" t="str">
            <v/>
          </cell>
          <cell r="H87" t="str">
            <v/>
          </cell>
          <cell r="I87">
            <v>0</v>
          </cell>
          <cell r="J87">
            <v>0</v>
          </cell>
        </row>
        <row r="88">
          <cell r="A88" t="str">
            <v>7.3.2</v>
          </cell>
          <cell r="B88">
            <v>0</v>
          </cell>
          <cell r="C88">
            <v>0</v>
          </cell>
          <cell r="D88" t="str">
            <v>FOSSA/ SUMIDOURO</v>
          </cell>
          <cell r="E88" t="str">
            <v/>
          </cell>
          <cell r="F88">
            <v>0</v>
          </cell>
          <cell r="G88" t="str">
            <v/>
          </cell>
          <cell r="H88" t="str">
            <v/>
          </cell>
          <cell r="I88">
            <v>0</v>
          </cell>
          <cell r="J88">
            <v>0</v>
          </cell>
        </row>
        <row r="89">
          <cell r="A89" t="str">
            <v>7.3.2.1</v>
          </cell>
          <cell r="B89" t="str">
            <v>COMPS27047</v>
          </cell>
          <cell r="C89" t="str">
            <v>COMPOSIÇÃO</v>
          </cell>
          <cell r="D89" t="str">
            <v>EXECUÇÃO DE FOSSA EM CONCRETO ARMADO E ALVENARIA ESTRUTURAL, INCLUSIVE ESCAVAÇÃO, REATERRO E INTERLIGAÇÃO COM O SISTEMA</v>
          </cell>
          <cell r="E89" t="str">
            <v>UN</v>
          </cell>
          <cell r="F89">
            <v>1</v>
          </cell>
          <cell r="G89">
            <v>11440.72</v>
          </cell>
          <cell r="H89">
            <v>14300.9</v>
          </cell>
          <cell r="I89">
            <v>14300.9</v>
          </cell>
          <cell r="J89">
            <v>0.25</v>
          </cell>
        </row>
        <row r="90">
          <cell r="A90" t="str">
            <v>7.3.2.2</v>
          </cell>
          <cell r="B90" t="str">
            <v>COMPS27048</v>
          </cell>
          <cell r="C90" t="str">
            <v>COMPOSIÇÃO</v>
          </cell>
          <cell r="D90" t="str">
            <v>EXECUÇÃO DE SUMIDOURO EM CONCRETO ARMADO E ALVENARIA ESTRUTURAL, INCLUSIVE ESCAVAÇÃO, DRENO DE BRITA, REATERRO E INTERLIGAÇÃO COM O SISTEMA</v>
          </cell>
          <cell r="E90" t="str">
            <v>UN</v>
          </cell>
          <cell r="F90">
            <v>2</v>
          </cell>
          <cell r="G90">
            <v>18151.989999999998</v>
          </cell>
          <cell r="H90">
            <v>22689.99</v>
          </cell>
          <cell r="I90">
            <v>45379.98</v>
          </cell>
          <cell r="J90">
            <v>0.25</v>
          </cell>
        </row>
        <row r="91">
          <cell r="A91" t="str">
            <v>7.3.2.3</v>
          </cell>
          <cell r="B91" t="str">
            <v>COMPS27049</v>
          </cell>
          <cell r="C91" t="str">
            <v>COMPOSIÇÃO</v>
          </cell>
          <cell r="D91" t="str">
            <v xml:space="preserve">CAIXA DE GORDURA EM ALVENARIA DE 1/2 VEZ, REVESTIDO INTERNA E EXTERNAMENTE, EM ARGAMASSA, NAS DIMENSÕES 0,72X0,72X1,00M, INCLUSIVE ESCAVAÇÃO E REATERRO  </v>
          </cell>
          <cell r="E91" t="str">
            <v>UN</v>
          </cell>
          <cell r="F91">
            <v>2</v>
          </cell>
          <cell r="G91">
            <v>701.77</v>
          </cell>
          <cell r="H91">
            <v>877.21</v>
          </cell>
          <cell r="I91">
            <v>1754.42</v>
          </cell>
          <cell r="J91">
            <v>0.25</v>
          </cell>
        </row>
        <row r="92">
          <cell r="A92" t="str">
            <v>7.3.2.4</v>
          </cell>
          <cell r="B92" t="str">
            <v>COMPS27050</v>
          </cell>
          <cell r="C92" t="str">
            <v>COMPOSIÇÃO</v>
          </cell>
          <cell r="D92" t="str">
            <v>CAIXA DE INSPEÇÃO EM CONCRETO ARMADO, 0,60X0,60X1,00M, INCLUSIVE ESCAVAÇÃO E REATERRO</v>
          </cell>
          <cell r="E92" t="str">
            <v>UN</v>
          </cell>
          <cell r="F92">
            <v>9</v>
          </cell>
          <cell r="G92">
            <v>1474.8600000000001</v>
          </cell>
          <cell r="H92">
            <v>1843.58</v>
          </cell>
          <cell r="I92">
            <v>16592.22</v>
          </cell>
          <cell r="J92">
            <v>0.25</v>
          </cell>
        </row>
        <row r="93">
          <cell r="A93" t="str">
            <v>7.3.2.5</v>
          </cell>
          <cell r="B93" t="str">
            <v>COMPS27051</v>
          </cell>
          <cell r="C93" t="str">
            <v>COMPOSIÇÃO</v>
          </cell>
          <cell r="D93" t="str">
            <v>TUBO PVC, SERIE NORMAL, ESGOTO PREDIAL, DN 75 MM, FORNECIDO E INSTALAÇÃO - INCLUSIVE ESCAVAÇÃO E REATERRO</v>
          </cell>
          <cell r="E93" t="str">
            <v>M</v>
          </cell>
          <cell r="F93">
            <v>16.3</v>
          </cell>
          <cell r="G93">
            <v>48.58</v>
          </cell>
          <cell r="H93">
            <v>60.73</v>
          </cell>
          <cell r="I93">
            <v>989.9</v>
          </cell>
          <cell r="J93">
            <v>0.25</v>
          </cell>
        </row>
        <row r="94">
          <cell r="A94" t="str">
            <v>7.3.2.6</v>
          </cell>
          <cell r="B94" t="str">
            <v>COMPS27052</v>
          </cell>
          <cell r="C94" t="str">
            <v>COMPOSIÇÃO</v>
          </cell>
          <cell r="D94" t="str">
            <v>TUBO PVC, SERIE NORMAL, ESGOTO PREDIAL, DN 100 MM, FORNECIDO E INSTALAÇÃO - INCLUSIVE ESCAVAÇÃO E REATERRO</v>
          </cell>
          <cell r="E94" t="str">
            <v>M</v>
          </cell>
          <cell r="F94">
            <v>44.650000000000006</v>
          </cell>
          <cell r="G94">
            <v>56.099999999999994</v>
          </cell>
          <cell r="H94">
            <v>70.13</v>
          </cell>
          <cell r="I94">
            <v>3131.3</v>
          </cell>
          <cell r="J94">
            <v>0.25</v>
          </cell>
        </row>
        <row r="95">
          <cell r="A95">
            <v>0</v>
          </cell>
          <cell r="B95">
            <v>0</v>
          </cell>
          <cell r="C95">
            <v>0</v>
          </cell>
          <cell r="D95" t="str">
            <v/>
          </cell>
          <cell r="E95" t="str">
            <v/>
          </cell>
          <cell r="F95">
            <v>0</v>
          </cell>
          <cell r="G95" t="str">
            <v/>
          </cell>
          <cell r="H95" t="str">
            <v/>
          </cell>
          <cell r="I95">
            <v>0</v>
          </cell>
          <cell r="J95">
            <v>0.25</v>
          </cell>
        </row>
        <row r="96">
          <cell r="A96">
            <v>0</v>
          </cell>
          <cell r="B96">
            <v>0</v>
          </cell>
          <cell r="C96">
            <v>0</v>
          </cell>
          <cell r="D96" t="str">
            <v/>
          </cell>
          <cell r="E96" t="str">
            <v/>
          </cell>
          <cell r="F96">
            <v>0</v>
          </cell>
          <cell r="G96" t="str">
            <v/>
          </cell>
          <cell r="H96" t="str">
            <v/>
          </cell>
          <cell r="I96">
            <v>0</v>
          </cell>
          <cell r="J96">
            <v>0</v>
          </cell>
        </row>
        <row r="97">
          <cell r="A97" t="str">
            <v>8.0</v>
          </cell>
          <cell r="B97">
            <v>0</v>
          </cell>
          <cell r="C97">
            <v>0</v>
          </cell>
          <cell r="D97" t="str">
            <v>SISTEMA DE COMBATE E PREVENÇÃO A INCÊNDIO</v>
          </cell>
          <cell r="E97" t="str">
            <v/>
          </cell>
          <cell r="F97">
            <v>0</v>
          </cell>
          <cell r="G97" t="str">
            <v/>
          </cell>
          <cell r="H97" t="str">
            <v/>
          </cell>
          <cell r="I97">
            <v>12346.32</v>
          </cell>
          <cell r="J97">
            <v>0</v>
          </cell>
        </row>
        <row r="98">
          <cell r="A98">
            <v>0</v>
          </cell>
          <cell r="B98">
            <v>0</v>
          </cell>
          <cell r="C98">
            <v>0</v>
          </cell>
          <cell r="D98" t="str">
            <v/>
          </cell>
          <cell r="E98" t="str">
            <v/>
          </cell>
          <cell r="F98">
            <v>0</v>
          </cell>
          <cell r="G98" t="str">
            <v/>
          </cell>
          <cell r="H98" t="str">
            <v/>
          </cell>
          <cell r="I98">
            <v>0</v>
          </cell>
          <cell r="J98">
            <v>0</v>
          </cell>
        </row>
        <row r="99">
          <cell r="A99" t="str">
            <v>8.1</v>
          </cell>
          <cell r="B99" t="str">
            <v>COMPS27041</v>
          </cell>
          <cell r="C99" t="str">
            <v>COMPOSIÇÃO</v>
          </cell>
          <cell r="D99" t="str">
            <v>FORNECIMENTO E INSTALAÇÃO DE BLOCO AUTÔNOMO DE ILUMINAÇÃO DE EMERGÊNCIA, FAB. PIAL LEGRAND, COMPOSTO POR:  1 BLOCO AUTÔNOMO PARA 1 LÂMPADA COMPACTA 11W COM AUTONOMIA PARA 1HORA, 680 LUMENS REF. 615 25; 1 DIFUSOR PRISMÁTICO BI-DIRECIONAL REF. 615 78; E 1 LÂMPADA FLUORESCENTE COMPACTA 11W.</v>
          </cell>
          <cell r="E99" t="str">
            <v>CJ</v>
          </cell>
          <cell r="F99">
            <v>5</v>
          </cell>
          <cell r="G99">
            <v>708.03</v>
          </cell>
          <cell r="H99">
            <v>885.04</v>
          </cell>
          <cell r="I99">
            <v>4425.2</v>
          </cell>
          <cell r="J99">
            <v>0.25</v>
          </cell>
        </row>
        <row r="100">
          <cell r="A100" t="str">
            <v>8.2</v>
          </cell>
          <cell r="B100" t="str">
            <v>COMPS27038</v>
          </cell>
          <cell r="C100" t="str">
            <v>COMPOSIÇÃO</v>
          </cell>
          <cell r="D100" t="str">
            <v>EXTINTOR PORTÁTIL DE PÓ QUÍMICO DE 4KG, INCLUSIVE PLACA DE IDENTIFICAÇÃO, FITA AUTODESIVA PARA SINALIZAÇÃO HORIZONTAL E SUPORTE DE PISO - FORNECIMENTO E INSTALAÇÃO</v>
          </cell>
          <cell r="E100" t="str">
            <v>UNID.</v>
          </cell>
          <cell r="F100">
            <v>5</v>
          </cell>
          <cell r="G100">
            <v>151.85</v>
          </cell>
          <cell r="H100">
            <v>189.81</v>
          </cell>
          <cell r="I100">
            <v>949.05</v>
          </cell>
          <cell r="J100">
            <v>0.25</v>
          </cell>
        </row>
        <row r="101">
          <cell r="A101" t="str">
            <v>8.3</v>
          </cell>
          <cell r="B101" t="str">
            <v>COMPS27039</v>
          </cell>
          <cell r="C101" t="str">
            <v>COMPOSIÇÃO</v>
          </cell>
          <cell r="D101" t="str">
            <v>EXTINTOR PORTÁTIL DE ÁGUA PRESSURIZADA DE 10 L, INCLUSIVE PLACA DE IDENTIFICAÇÃO, FITA AUTODESIVA PARA SINALIZAÇÃO HORIZONTAL E SUPORTE DE PISO - FORNECIMENTO E INSTALAÇÃO</v>
          </cell>
          <cell r="E101" t="str">
            <v>UNID.</v>
          </cell>
          <cell r="F101">
            <v>1</v>
          </cell>
          <cell r="G101">
            <v>169.12</v>
          </cell>
          <cell r="H101">
            <v>211.4</v>
          </cell>
          <cell r="I101">
            <v>211.4</v>
          </cell>
          <cell r="J101">
            <v>0.25</v>
          </cell>
        </row>
        <row r="102">
          <cell r="A102" t="str">
            <v>8.4</v>
          </cell>
          <cell r="B102" t="str">
            <v>COMPS27040</v>
          </cell>
          <cell r="C102" t="str">
            <v>COMPOSIÇÃO</v>
          </cell>
          <cell r="D102" t="str">
            <v>EXTINTOR PORTÁTIL DE GÁS CARBÔNICO DE 6 KG, INCLUSIVE PLACA DE IDENTIFICAÇÃO, FITA AUTODESIVA PARA SINALIZAÇÃO HORIZONTAL E SUPORTE DE PISO - FORNECIMENTO E INSTALAÇÃO</v>
          </cell>
          <cell r="E102" t="str">
            <v>UNID.</v>
          </cell>
          <cell r="F102">
            <v>1</v>
          </cell>
          <cell r="G102">
            <v>452.31</v>
          </cell>
          <cell r="H102">
            <v>565.39</v>
          </cell>
          <cell r="I102">
            <v>565.39</v>
          </cell>
          <cell r="J102">
            <v>0.25</v>
          </cell>
        </row>
        <row r="103">
          <cell r="A103" t="str">
            <v>8.5</v>
          </cell>
          <cell r="B103" t="str">
            <v>COMPS27037</v>
          </cell>
          <cell r="C103" t="str">
            <v>COMPOSIÇÃO</v>
          </cell>
          <cell r="D103" t="str">
            <v>FORNECIMENTO E INSTALAÇÃO DE BLOCO AUTÔNOMO DE ILUMINAÇÃO DE EMERGÊNCIA, FAB. PIAL LEGRAND, COMPOSTO POR:  1 BLOCO AUTÔNOMO PARA 1 LÂMPADA COMPACTA 11W COM AUTONOMIA PARA 1HORA, 680 LUMENS REF. 615 25; 1 DIFUSOR PRISMÁTICO BI-DIRECIONAL REF. 615 78; 1 LÂMPADA FLUORESCENTE COMPACTA 11W; E 2 ETIQUETAS DE SINALIZAÇÃO AUTO-ADESIVAS COM INDICAÇÃO “SAÍDA (SÍMBOLO)” REF. 609 95.</v>
          </cell>
          <cell r="E103" t="str">
            <v>CJ</v>
          </cell>
          <cell r="F103">
            <v>7</v>
          </cell>
          <cell r="G103">
            <v>708.03</v>
          </cell>
          <cell r="H103">
            <v>885.04</v>
          </cell>
          <cell r="I103">
            <v>6195.28</v>
          </cell>
          <cell r="J103">
            <v>0.25</v>
          </cell>
        </row>
        <row r="104">
          <cell r="A104">
            <v>0</v>
          </cell>
          <cell r="B104">
            <v>0</v>
          </cell>
          <cell r="C104">
            <v>0</v>
          </cell>
          <cell r="D104" t="str">
            <v/>
          </cell>
          <cell r="E104" t="str">
            <v/>
          </cell>
          <cell r="F104">
            <v>0</v>
          </cell>
          <cell r="G104" t="str">
            <v/>
          </cell>
          <cell r="H104" t="str">
            <v/>
          </cell>
          <cell r="I104">
            <v>0</v>
          </cell>
          <cell r="J104">
            <v>0</v>
          </cell>
        </row>
        <row r="105">
          <cell r="A105">
            <v>0</v>
          </cell>
          <cell r="B105">
            <v>0</v>
          </cell>
          <cell r="C105">
            <v>0</v>
          </cell>
          <cell r="D105" t="str">
            <v/>
          </cell>
          <cell r="E105" t="str">
            <v/>
          </cell>
          <cell r="F105">
            <v>0</v>
          </cell>
          <cell r="G105" t="str">
            <v/>
          </cell>
          <cell r="H105" t="str">
            <v/>
          </cell>
          <cell r="I105">
            <v>0</v>
          </cell>
          <cell r="J105">
            <v>0</v>
          </cell>
        </row>
        <row r="106">
          <cell r="A106">
            <v>0</v>
          </cell>
          <cell r="B106">
            <v>0</v>
          </cell>
          <cell r="C106">
            <v>0</v>
          </cell>
          <cell r="D106" t="str">
            <v/>
          </cell>
          <cell r="E106" t="str">
            <v/>
          </cell>
          <cell r="F106">
            <v>0</v>
          </cell>
          <cell r="G106" t="str">
            <v/>
          </cell>
          <cell r="H106" t="str">
            <v/>
          </cell>
          <cell r="I106">
            <v>0</v>
          </cell>
          <cell r="J10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O."/>
      <sheetName val="MODELO"/>
      <sheetName val="R.C."/>
      <sheetName val="MOBILIZAÇÃO "/>
      <sheetName val="L.I.COT."/>
      <sheetName val="L.I.SINAPI"/>
      <sheetName val="L.S.SINAPI"/>
      <sheetName val="L.S.SICRO 2"/>
      <sheetName val="L.I.SICRO EQ"/>
      <sheetName val="L.I.SICRO MAT"/>
      <sheetName val="L.I.SICRO MO"/>
      <sheetName val="L.S.EMLURB"/>
      <sheetName val="L.S.COHAB"/>
      <sheetName val="L.S.COMPESA"/>
      <sheetName val="L.S.EML..."/>
    </sheetNames>
    <sheetDataSet>
      <sheetData sheetId="0">
        <row r="1">
          <cell r="A1">
            <v>0</v>
          </cell>
          <cell r="B1">
            <v>0</v>
          </cell>
          <cell r="C1">
            <v>0</v>
          </cell>
          <cell r="D1" t="str">
            <v>GOVERNO DO ESTADO DE PERNAMBUCO</v>
          </cell>
          <cell r="E1">
            <v>0</v>
          </cell>
          <cell r="F1">
            <v>0</v>
          </cell>
          <cell r="G1">
            <v>0</v>
          </cell>
          <cell r="H1">
            <v>0</v>
          </cell>
          <cell r="I1">
            <v>0</v>
          </cell>
          <cell r="J1">
            <v>0</v>
          </cell>
        </row>
        <row r="2">
          <cell r="A2">
            <v>0</v>
          </cell>
          <cell r="D2" t="str">
            <v>SECRETARIA DE TURISMO - SETUR</v>
          </cell>
          <cell r="E2">
            <v>0</v>
          </cell>
          <cell r="F2">
            <v>0</v>
          </cell>
          <cell r="G2">
            <v>0</v>
          </cell>
          <cell r="H2">
            <v>0</v>
          </cell>
          <cell r="I2">
            <v>0</v>
          </cell>
          <cell r="J2">
            <v>0</v>
          </cell>
        </row>
        <row r="3">
          <cell r="A3">
            <v>0</v>
          </cell>
          <cell r="D3">
            <v>0</v>
          </cell>
          <cell r="E3">
            <v>0</v>
          </cell>
          <cell r="F3">
            <v>0</v>
          </cell>
          <cell r="G3">
            <v>0</v>
          </cell>
          <cell r="H3">
            <v>0</v>
          </cell>
          <cell r="I3">
            <v>0</v>
          </cell>
          <cell r="J3">
            <v>0</v>
          </cell>
        </row>
        <row r="4">
          <cell r="A4" t="str">
            <v>OBRA:</v>
          </cell>
          <cell r="B4" t="str">
            <v>PROJETO EXECUTIVO DE REQUALIFICAÇÃO DO PAÇO MUNICIPAL DE GOIANA PARA IMPLANTAÇÃO DE ESPAÇO CULTURAL E CENTRO DE ATENDIMENTO AO TURISTA – CAT</v>
          </cell>
          <cell r="C4">
            <v>0</v>
          </cell>
          <cell r="D4">
            <v>0</v>
          </cell>
          <cell r="E4">
            <v>0</v>
          </cell>
          <cell r="F4">
            <v>0</v>
          </cell>
          <cell r="G4">
            <v>0</v>
          </cell>
          <cell r="H4" t="str">
            <v xml:space="preserve">DATA BASE: </v>
          </cell>
          <cell r="I4">
            <v>42095</v>
          </cell>
          <cell r="J4">
            <v>0</v>
          </cell>
        </row>
        <row r="5">
          <cell r="A5" t="str">
            <v>LOCAL:</v>
          </cell>
          <cell r="B5" t="str">
            <v>AVENIDA MARECHAL DEODORO DDA FONSECA, SN - CENTRO - GOIANA/PE</v>
          </cell>
          <cell r="C5">
            <v>0</v>
          </cell>
          <cell r="D5">
            <v>0</v>
          </cell>
          <cell r="E5">
            <v>0</v>
          </cell>
          <cell r="F5">
            <v>0</v>
          </cell>
          <cell r="G5">
            <v>0</v>
          </cell>
          <cell r="H5" t="str">
            <v>BDI OBRA</v>
          </cell>
          <cell r="I5">
            <v>0</v>
          </cell>
          <cell r="J5">
            <v>0.25</v>
          </cell>
        </row>
        <row r="6">
          <cell r="A6">
            <v>0</v>
          </cell>
          <cell r="B6">
            <v>0</v>
          </cell>
          <cell r="C6">
            <v>0</v>
          </cell>
          <cell r="D6">
            <v>0</v>
          </cell>
          <cell r="E6">
            <v>0</v>
          </cell>
          <cell r="F6">
            <v>0</v>
          </cell>
          <cell r="G6">
            <v>0</v>
          </cell>
          <cell r="H6" t="str">
            <v>BDI EQUIPAMENTO/COTAÇÃO</v>
          </cell>
          <cell r="I6">
            <v>0</v>
          </cell>
          <cell r="J6">
            <v>0.16800000000000001</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t="str">
            <v xml:space="preserve">ITEM </v>
          </cell>
          <cell r="B9" t="str">
            <v>CÓDIGO</v>
          </cell>
          <cell r="C9" t="str">
            <v>FONTE</v>
          </cell>
          <cell r="D9" t="str">
            <v>DESCRIÇÃO</v>
          </cell>
          <cell r="E9" t="str">
            <v>UND</v>
          </cell>
          <cell r="F9" t="str">
            <v xml:space="preserve">QUANT. </v>
          </cell>
          <cell r="G9" t="str">
            <v>CUSTO UNITÁRIO S/ BDI</v>
          </cell>
          <cell r="H9">
            <v>0</v>
          </cell>
          <cell r="I9" t="str">
            <v>TOTAL</v>
          </cell>
          <cell r="J9" t="str">
            <v>%</v>
          </cell>
        </row>
        <row r="10">
          <cell r="A10">
            <v>0</v>
          </cell>
          <cell r="B10">
            <v>0</v>
          </cell>
          <cell r="C10">
            <v>0</v>
          </cell>
          <cell r="D10">
            <v>0</v>
          </cell>
          <cell r="E10">
            <v>0</v>
          </cell>
          <cell r="F10">
            <v>0</v>
          </cell>
          <cell r="G10" t="str">
            <v>UNITÁRIO</v>
          </cell>
          <cell r="H10" t="str">
            <v>PARCIAL</v>
          </cell>
          <cell r="I10">
            <v>0</v>
          </cell>
          <cell r="J10">
            <v>0</v>
          </cell>
        </row>
        <row r="11">
          <cell r="A11">
            <v>0</v>
          </cell>
          <cell r="B11">
            <v>0</v>
          </cell>
          <cell r="C11">
            <v>0</v>
          </cell>
          <cell r="D11">
            <v>0</v>
          </cell>
          <cell r="E11">
            <v>0</v>
          </cell>
          <cell r="F11">
            <v>0</v>
          </cell>
          <cell r="G11">
            <v>0</v>
          </cell>
          <cell r="H11">
            <v>0</v>
          </cell>
          <cell r="I11">
            <v>0</v>
          </cell>
          <cell r="J11">
            <v>0</v>
          </cell>
        </row>
        <row r="12">
          <cell r="A12" t="str">
            <v>9.0</v>
          </cell>
          <cell r="B12">
            <v>0</v>
          </cell>
          <cell r="C12">
            <v>0</v>
          </cell>
          <cell r="D12" t="str">
            <v>SISTEMA DE AR CONDICIONADO</v>
          </cell>
          <cell r="E12" t="str">
            <v/>
          </cell>
          <cell r="F12">
            <v>0</v>
          </cell>
          <cell r="G12" t="str">
            <v/>
          </cell>
          <cell r="H12">
            <v>0</v>
          </cell>
          <cell r="I12">
            <v>49581.77</v>
          </cell>
          <cell r="J12">
            <v>0</v>
          </cell>
        </row>
        <row r="13">
          <cell r="A13">
            <v>0</v>
          </cell>
          <cell r="B13">
            <v>0</v>
          </cell>
          <cell r="C13">
            <v>0</v>
          </cell>
          <cell r="D13" t="str">
            <v/>
          </cell>
          <cell r="E13" t="str">
            <v/>
          </cell>
          <cell r="F13">
            <v>0</v>
          </cell>
          <cell r="G13" t="str">
            <v/>
          </cell>
          <cell r="H13" t="str">
            <v/>
          </cell>
          <cell r="I13">
            <v>0</v>
          </cell>
          <cell r="J13">
            <v>0</v>
          </cell>
        </row>
        <row r="14">
          <cell r="A14" t="str">
            <v>9.1</v>
          </cell>
          <cell r="B14" t="str">
            <v>COTSV45001</v>
          </cell>
          <cell r="C14" t="str">
            <v>COTAÇÃO</v>
          </cell>
          <cell r="D14" t="str">
            <v>FORNECIMENTO E INSTALAÇÃO DE SPLIT SYSTEM, TIPO CASSETE, CAPACIDADE 18.000 BTU/H, MODELO 42KWCB18C5 / 38KCD018515MC, MARCA CARRIER OU EQUIVALENTE TECNICO</v>
          </cell>
          <cell r="E14" t="str">
            <v>UND</v>
          </cell>
          <cell r="F14">
            <v>3</v>
          </cell>
          <cell r="G14">
            <v>3973.1918627788909</v>
          </cell>
          <cell r="H14">
            <v>4640.6899999999996</v>
          </cell>
          <cell r="I14">
            <v>13922.07</v>
          </cell>
          <cell r="J14">
            <v>0.16800000000000001</v>
          </cell>
        </row>
        <row r="15">
          <cell r="A15" t="str">
            <v>9.2</v>
          </cell>
          <cell r="B15" t="str">
            <v>COTSV45002</v>
          </cell>
          <cell r="C15" t="str">
            <v>COTAÇÃO</v>
          </cell>
          <cell r="D15" t="str">
            <v>FORNECIMENTO E INSTALAÇÃO DE SPLIT SYSTEM, TIPO CASSETE, CAPACIDADE 36.000 BTU/H, MODELO 42KWCB36C5 / 38CCD036515MC, MARCA CARRIER OU EQUIVALENTE TECNICO.</v>
          </cell>
          <cell r="E15" t="str">
            <v>UND</v>
          </cell>
          <cell r="F15">
            <v>2</v>
          </cell>
          <cell r="G15">
            <v>6738.4922795641996</v>
          </cell>
          <cell r="H15">
            <v>7870.56</v>
          </cell>
          <cell r="I15">
            <v>15741.12</v>
          </cell>
          <cell r="J15">
            <v>0.16800000000000001</v>
          </cell>
        </row>
        <row r="16">
          <cell r="A16" t="str">
            <v>9.3</v>
          </cell>
          <cell r="B16" t="str">
            <v>COTSV45003</v>
          </cell>
          <cell r="C16" t="str">
            <v>COTAÇÃO</v>
          </cell>
          <cell r="D16" t="str">
            <v>FORNECIMENTO E INSTALAÇÃO DE SPLIT SYSTEM, TIPO CASSETE, CAPACIDADE 18.000 BTU/H, MODELO 42KWCB48C5 / 38KCD048235MC, MARCA CARRIER OU EQUIVALENTE TECNICO</v>
          </cell>
          <cell r="E16" t="str">
            <v>UND</v>
          </cell>
          <cell r="F16">
            <v>1</v>
          </cell>
          <cell r="G16">
            <v>5718.9534497642608</v>
          </cell>
          <cell r="H16">
            <v>6679.74</v>
          </cell>
          <cell r="I16">
            <v>6679.74</v>
          </cell>
          <cell r="J16">
            <v>0.16800000000000001</v>
          </cell>
        </row>
        <row r="17">
          <cell r="A17" t="str">
            <v>9.4</v>
          </cell>
          <cell r="B17" t="str">
            <v>COTSV45004</v>
          </cell>
          <cell r="C17" t="str">
            <v>COTAÇÃO</v>
          </cell>
          <cell r="D17" t="str">
            <v>FORNECIMENTO E INSTALAÇÃO DE DUTO FLEXÍVEL PARA TOMADA DE AR EXTERIOR DIÂMETRO 100MM S/ ISOLAMENTO</v>
          </cell>
          <cell r="E17" t="str">
            <v>M</v>
          </cell>
          <cell r="F17">
            <v>12</v>
          </cell>
          <cell r="G17">
            <v>39.971180025234084</v>
          </cell>
          <cell r="H17">
            <v>46.69</v>
          </cell>
          <cell r="I17">
            <v>560.28</v>
          </cell>
          <cell r="J17">
            <v>0.16800000000000001</v>
          </cell>
        </row>
        <row r="18">
          <cell r="A18" t="str">
            <v>9.5</v>
          </cell>
          <cell r="B18" t="str">
            <v>COTSV45005</v>
          </cell>
          <cell r="C18" t="str">
            <v>COTAÇÃO</v>
          </cell>
          <cell r="D18" t="str">
            <v>FORNECIMENTO E INSTALAÇÃO DE TOMADA DE AR EXTERIOR, TAMANHO 147X147, FABRICAÇÃO TROX OU EQUIVALENTE TECNICO</v>
          </cell>
          <cell r="E18" t="str">
            <v>UND</v>
          </cell>
          <cell r="F18">
            <v>6</v>
          </cell>
          <cell r="G18">
            <v>199.30245301812872</v>
          </cell>
          <cell r="H18">
            <v>232.79</v>
          </cell>
          <cell r="I18">
            <v>1396.74</v>
          </cell>
          <cell r="J18">
            <v>0.16800000000000001</v>
          </cell>
        </row>
        <row r="19">
          <cell r="A19" t="str">
            <v>9.6</v>
          </cell>
          <cell r="B19" t="str">
            <v>COTSV45006</v>
          </cell>
          <cell r="C19" t="str">
            <v>COTAÇÃO</v>
          </cell>
          <cell r="D19" t="str">
            <v>FORNECIMENTO E INSTALAÇÃO DE VENTILADOR TIPO VENTOKIT, MULTIVAC OU EQUIVALENTE TECNICO</v>
          </cell>
          <cell r="E19" t="str">
            <v>UND</v>
          </cell>
          <cell r="F19">
            <v>6</v>
          </cell>
          <cell r="G19">
            <v>626.21515372866725</v>
          </cell>
          <cell r="H19">
            <v>731.42</v>
          </cell>
          <cell r="I19">
            <v>4388.5200000000004</v>
          </cell>
          <cell r="J19">
            <v>0.16800000000000001</v>
          </cell>
        </row>
        <row r="20">
          <cell r="A20" t="str">
            <v>9.7</v>
          </cell>
          <cell r="B20" t="str">
            <v>COTSV45007</v>
          </cell>
          <cell r="C20" t="str">
            <v>COTAÇÃO</v>
          </cell>
          <cell r="D20" t="str">
            <v>FORNECIMENTO E INSTALAÇÃO DE TUBO COBRE 1 1/8", CLASSE A</v>
          </cell>
          <cell r="E20" t="str">
            <v>KG</v>
          </cell>
          <cell r="F20">
            <v>16</v>
          </cell>
          <cell r="G20">
            <v>70.718241583106447</v>
          </cell>
          <cell r="H20">
            <v>82.6</v>
          </cell>
          <cell r="I20">
            <v>1321.6</v>
          </cell>
          <cell r="J20">
            <v>0.16800000000000001</v>
          </cell>
        </row>
        <row r="21">
          <cell r="A21" t="str">
            <v>9.8</v>
          </cell>
          <cell r="B21" t="str">
            <v>COTSV45008</v>
          </cell>
          <cell r="C21" t="str">
            <v>COTAÇÃO</v>
          </cell>
          <cell r="D21" t="str">
            <v>FORNECIMENTO E INSTALAÇÃO DE TUBO COBRE 7/8", CLASSE A</v>
          </cell>
          <cell r="E21" t="str">
            <v>KG</v>
          </cell>
          <cell r="F21">
            <v>8</v>
          </cell>
          <cell r="G21">
            <v>70.718241583106447</v>
          </cell>
          <cell r="H21">
            <v>82.6</v>
          </cell>
          <cell r="I21">
            <v>660.8</v>
          </cell>
          <cell r="J21">
            <v>0.16800000000000001</v>
          </cell>
        </row>
        <row r="22">
          <cell r="A22" t="str">
            <v>9.9</v>
          </cell>
          <cell r="B22" t="str">
            <v>COTSV45009</v>
          </cell>
          <cell r="C22" t="str">
            <v>COTAÇÃO</v>
          </cell>
          <cell r="D22" t="str">
            <v>FORNECIMENTO E INSTALAÇÃO DE TUBO COBRE 3/8", CLASSE A</v>
          </cell>
          <cell r="E22" t="str">
            <v>KG</v>
          </cell>
          <cell r="F22">
            <v>5</v>
          </cell>
          <cell r="G22">
            <v>70.718241583106447</v>
          </cell>
          <cell r="H22">
            <v>82.6</v>
          </cell>
          <cell r="I22">
            <v>413</v>
          </cell>
          <cell r="J22">
            <v>0.16800000000000001</v>
          </cell>
        </row>
        <row r="23">
          <cell r="A23" t="str">
            <v>9.10</v>
          </cell>
          <cell r="B23" t="str">
            <v>COTSV45010</v>
          </cell>
          <cell r="C23" t="str">
            <v>COTAÇÃO</v>
          </cell>
          <cell r="D23" t="str">
            <v>FORNECIMENTO E INSTALAÇÃO DE TUBO COBRE 1/4", CLASSE A</v>
          </cell>
          <cell r="E23" t="str">
            <v>KG</v>
          </cell>
          <cell r="F23">
            <v>10</v>
          </cell>
          <cell r="G23">
            <v>70.718241583106447</v>
          </cell>
          <cell r="H23">
            <v>82.6</v>
          </cell>
          <cell r="I23">
            <v>826</v>
          </cell>
          <cell r="J23">
            <v>0.16800000000000001</v>
          </cell>
        </row>
        <row r="24">
          <cell r="A24" t="str">
            <v>9.11</v>
          </cell>
          <cell r="B24" t="str">
            <v>COTSV45011</v>
          </cell>
          <cell r="C24" t="str">
            <v>COTAÇÃO</v>
          </cell>
          <cell r="D24" t="str">
            <v>FORNECIMENTO E INSTALAÇÃO DE ISOLAMENTO TUBULAÇÃO 1 1/8" AF ARMACELL OU EQUIVALENTE TECNICO</v>
          </cell>
          <cell r="E24" t="str">
            <v>PÇ</v>
          </cell>
          <cell r="F24">
            <v>10</v>
          </cell>
          <cell r="G24">
            <v>23.777727604754631</v>
          </cell>
          <cell r="H24">
            <v>27.77</v>
          </cell>
          <cell r="I24">
            <v>277.7</v>
          </cell>
          <cell r="J24">
            <v>0.16800000000000001</v>
          </cell>
        </row>
        <row r="25">
          <cell r="A25" t="str">
            <v>9.12</v>
          </cell>
          <cell r="B25" t="str">
            <v>COTSV45012</v>
          </cell>
          <cell r="C25" t="str">
            <v>COTAÇÃO</v>
          </cell>
          <cell r="D25" t="str">
            <v>FORNECIMENTO E INSTALAÇÃO DE ISOLAMENTO TUBULAÇÃO 7/8" AF ARMACELL OU EQUIVALENTE TECNICO</v>
          </cell>
          <cell r="E25" t="str">
            <v>PÇ</v>
          </cell>
          <cell r="F25">
            <v>10</v>
          </cell>
          <cell r="G25">
            <v>30.64457135267946</v>
          </cell>
          <cell r="H25">
            <v>35.79</v>
          </cell>
          <cell r="I25">
            <v>357.9</v>
          </cell>
          <cell r="J25">
            <v>0.16800000000000001</v>
          </cell>
        </row>
        <row r="26">
          <cell r="A26" t="str">
            <v>9.13</v>
          </cell>
          <cell r="B26" t="str">
            <v>COTSV45013</v>
          </cell>
          <cell r="C26" t="str">
            <v>COTAÇÃO</v>
          </cell>
          <cell r="D26" t="str">
            <v>FORNECIMENTO E INSTALAÇÃO DE ISOLAMENTO TUBULAÇÃO 3/8" AF ARMACELL OU EQUIVALENTE TECNICO</v>
          </cell>
          <cell r="E26" t="str">
            <v>PÇ</v>
          </cell>
          <cell r="F26">
            <v>20</v>
          </cell>
          <cell r="G26">
            <v>24.187688425526265</v>
          </cell>
          <cell r="H26">
            <v>28.25</v>
          </cell>
          <cell r="I26">
            <v>565</v>
          </cell>
          <cell r="J26">
            <v>0.16800000000000001</v>
          </cell>
        </row>
        <row r="27">
          <cell r="A27" t="str">
            <v>9.14</v>
          </cell>
          <cell r="B27" t="str">
            <v>COTSV45014</v>
          </cell>
          <cell r="C27" t="str">
            <v>COTAÇÃO</v>
          </cell>
          <cell r="D27" t="str">
            <v>FORNECIMENTO E INSTALAÇÃO DE ISOLAMENTO TUBULAÇÃO 1/4" AF ARMACELL OU EQUIVALENTE TECNICO</v>
          </cell>
          <cell r="E27" t="str">
            <v>PÇ</v>
          </cell>
          <cell r="F27">
            <v>20</v>
          </cell>
          <cell r="G27">
            <v>21.727923500896473</v>
          </cell>
          <cell r="H27">
            <v>25.38</v>
          </cell>
          <cell r="I27">
            <v>507.6</v>
          </cell>
          <cell r="J27">
            <v>0.16800000000000001</v>
          </cell>
        </row>
        <row r="28">
          <cell r="A28" t="str">
            <v>9.15</v>
          </cell>
          <cell r="B28" t="str">
            <v>COTSV45015</v>
          </cell>
          <cell r="C28" t="str">
            <v>COTAÇÃO</v>
          </cell>
          <cell r="D28" t="str">
            <v>FORNECIMENTO E EXECUÇÃO DE ELETRODOS PARA SOLDAGEM</v>
          </cell>
          <cell r="E28" t="str">
            <v>KG</v>
          </cell>
          <cell r="F28">
            <v>5</v>
          </cell>
          <cell r="G28">
            <v>336.2498651968923</v>
          </cell>
          <cell r="H28">
            <v>392.74</v>
          </cell>
          <cell r="I28">
            <v>1963.7</v>
          </cell>
          <cell r="J28">
            <v>0.16800000000000001</v>
          </cell>
        </row>
        <row r="29">
          <cell r="A29">
            <v>0</v>
          </cell>
          <cell r="B29">
            <v>0</v>
          </cell>
          <cell r="C29">
            <v>0</v>
          </cell>
          <cell r="D29" t="str">
            <v/>
          </cell>
          <cell r="E29" t="str">
            <v/>
          </cell>
          <cell r="F29">
            <v>0</v>
          </cell>
          <cell r="G29" t="str">
            <v/>
          </cell>
          <cell r="H29" t="str">
            <v/>
          </cell>
          <cell r="I29">
            <v>0</v>
          </cell>
          <cell r="J29">
            <v>0</v>
          </cell>
        </row>
        <row r="30">
          <cell r="A30">
            <v>0</v>
          </cell>
          <cell r="B30">
            <v>0</v>
          </cell>
          <cell r="C30">
            <v>0</v>
          </cell>
          <cell r="D30" t="str">
            <v/>
          </cell>
          <cell r="E30" t="str">
            <v/>
          </cell>
          <cell r="F30">
            <v>0</v>
          </cell>
          <cell r="G30" t="str">
            <v/>
          </cell>
          <cell r="H30" t="str">
            <v/>
          </cell>
          <cell r="I30">
            <v>0</v>
          </cell>
          <cell r="J3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779"/>
  <sheetViews>
    <sheetView view="pageBreakPreview" zoomScale="80" zoomScaleSheetLayoutView="80" workbookViewId="0">
      <selection activeCell="G32" sqref="G32"/>
    </sheetView>
  </sheetViews>
  <sheetFormatPr defaultColWidth="9.140625" defaultRowHeight="16.5"/>
  <cols>
    <col min="1" max="1" width="11.42578125" style="3" bestFit="1" customWidth="1"/>
    <col min="2" max="2" width="13.7109375" style="29" bestFit="1" customWidth="1"/>
    <col min="3" max="3" width="17.7109375" style="29" bestFit="1" customWidth="1"/>
    <col min="4" max="4" width="88.28515625" style="36" customWidth="1"/>
    <col min="5" max="5" width="12" style="2" customWidth="1"/>
    <col min="6" max="6" width="13.7109375" style="39" customWidth="1"/>
    <col min="7" max="9" width="17.42578125" style="44" customWidth="1"/>
    <col min="10" max="10" width="9.140625" style="45"/>
    <col min="11" max="11" width="10.7109375" style="257" customWidth="1"/>
    <col min="12" max="12" width="9.140625" style="270"/>
    <col min="13" max="16384" width="9.140625" style="226"/>
  </cols>
  <sheetData>
    <row r="1" spans="1:12" s="8" customFormat="1" ht="15.75">
      <c r="A1" s="51"/>
      <c r="B1" s="52"/>
      <c r="C1" s="52"/>
      <c r="D1" s="296" t="s">
        <v>643</v>
      </c>
      <c r="E1" s="296"/>
      <c r="F1" s="296"/>
      <c r="G1" s="296"/>
      <c r="H1" s="53"/>
      <c r="I1" s="54"/>
      <c r="J1" s="55"/>
      <c r="K1" s="286"/>
      <c r="L1" s="261"/>
    </row>
    <row r="2" spans="1:12" s="8" customFormat="1" ht="15.75">
      <c r="A2" s="7"/>
      <c r="D2" s="297" t="s">
        <v>25</v>
      </c>
      <c r="E2" s="297"/>
      <c r="F2" s="297"/>
      <c r="G2" s="297"/>
      <c r="H2" s="56"/>
      <c r="I2" s="57"/>
      <c r="J2" s="58"/>
      <c r="K2" s="287"/>
      <c r="L2" s="261"/>
    </row>
    <row r="3" spans="1:12" s="8" customFormat="1" thickBot="1">
      <c r="A3" s="7"/>
      <c r="D3" s="56"/>
      <c r="E3" s="56"/>
      <c r="F3" s="56"/>
      <c r="G3" s="56"/>
      <c r="H3" s="56"/>
      <c r="I3" s="57"/>
      <c r="J3" s="59"/>
      <c r="K3" s="287"/>
      <c r="L3" s="261"/>
    </row>
    <row r="4" spans="1:12" s="10" customFormat="1" ht="15.75">
      <c r="A4" s="9" t="s">
        <v>26</v>
      </c>
      <c r="B4" s="298" t="s">
        <v>184</v>
      </c>
      <c r="C4" s="298"/>
      <c r="D4" s="298"/>
      <c r="E4" s="298"/>
      <c r="F4" s="298"/>
      <c r="G4" s="299"/>
      <c r="H4" s="60" t="s">
        <v>11</v>
      </c>
      <c r="I4" s="300">
        <v>42095</v>
      </c>
      <c r="J4" s="301"/>
      <c r="K4" s="287"/>
      <c r="L4" s="262"/>
    </row>
    <row r="5" spans="1:12" s="10" customFormat="1" ht="15.75">
      <c r="A5" s="11" t="s">
        <v>12</v>
      </c>
      <c r="B5" s="302" t="s">
        <v>185</v>
      </c>
      <c r="C5" s="302"/>
      <c r="D5" s="302"/>
      <c r="E5" s="302"/>
      <c r="F5" s="302"/>
      <c r="G5" s="303"/>
      <c r="H5" s="304" t="s">
        <v>655</v>
      </c>
      <c r="I5" s="304"/>
      <c r="J5" s="12">
        <v>0.16800000000000001</v>
      </c>
      <c r="K5" s="287"/>
      <c r="L5" s="262"/>
    </row>
    <row r="6" spans="1:12" s="10" customFormat="1" thickBot="1">
      <c r="A6" s="13"/>
      <c r="B6" s="307"/>
      <c r="C6" s="307"/>
      <c r="D6" s="307"/>
      <c r="E6" s="307"/>
      <c r="F6" s="307"/>
      <c r="G6" s="308"/>
      <c r="H6" s="309" t="s">
        <v>13</v>
      </c>
      <c r="I6" s="309"/>
      <c r="J6" s="14">
        <v>0.25</v>
      </c>
      <c r="K6" s="288"/>
      <c r="L6" s="262"/>
    </row>
    <row r="7" spans="1:12" s="10" customFormat="1" thickBot="1">
      <c r="A7" s="289"/>
      <c r="B7" s="290"/>
      <c r="C7" s="290"/>
      <c r="D7" s="290"/>
      <c r="E7" s="290"/>
      <c r="F7" s="290"/>
      <c r="G7" s="290"/>
      <c r="H7" s="290"/>
      <c r="I7" s="290"/>
      <c r="J7" s="290"/>
      <c r="K7" s="291"/>
      <c r="L7" s="262"/>
    </row>
    <row r="8" spans="1:12" s="10" customFormat="1" ht="16.5" customHeight="1" thickBot="1">
      <c r="A8" s="292" t="s">
        <v>24</v>
      </c>
      <c r="B8" s="293"/>
      <c r="C8" s="293"/>
      <c r="D8" s="293"/>
      <c r="E8" s="293"/>
      <c r="F8" s="293"/>
      <c r="G8" s="293"/>
      <c r="H8" s="293"/>
      <c r="I8" s="293"/>
      <c r="J8" s="293"/>
      <c r="K8" s="294"/>
      <c r="L8" s="262"/>
    </row>
    <row r="9" spans="1:12" s="50" customFormat="1" ht="13.5" thickBot="1">
      <c r="A9" s="289"/>
      <c r="B9" s="290"/>
      <c r="C9" s="290"/>
      <c r="D9" s="290"/>
      <c r="E9" s="290"/>
      <c r="F9" s="290"/>
      <c r="G9" s="290"/>
      <c r="H9" s="290"/>
      <c r="I9" s="290"/>
      <c r="J9" s="290"/>
      <c r="K9" s="291"/>
      <c r="L9" s="263"/>
    </row>
    <row r="10" spans="1:12" s="224" customFormat="1" ht="28.15" customHeight="1">
      <c r="A10" s="259" t="s">
        <v>14</v>
      </c>
      <c r="B10" s="260" t="s">
        <v>15</v>
      </c>
      <c r="C10" s="186" t="s">
        <v>16</v>
      </c>
      <c r="D10" s="186" t="s">
        <v>1</v>
      </c>
      <c r="E10" s="260" t="s">
        <v>17</v>
      </c>
      <c r="F10" s="187" t="s">
        <v>18</v>
      </c>
      <c r="G10" s="187" t="s">
        <v>652</v>
      </c>
      <c r="H10" s="187" t="s">
        <v>653</v>
      </c>
      <c r="I10" s="221" t="s">
        <v>19</v>
      </c>
      <c r="J10" s="222" t="s">
        <v>20</v>
      </c>
      <c r="K10" s="223" t="s">
        <v>654</v>
      </c>
      <c r="L10" s="264"/>
    </row>
    <row r="11" spans="1:12">
      <c r="A11" s="4"/>
      <c r="B11" s="23"/>
      <c r="C11" s="23"/>
      <c r="D11" s="30"/>
      <c r="E11" s="123"/>
      <c r="F11" s="124"/>
      <c r="G11" s="125"/>
      <c r="H11" s="125"/>
      <c r="I11" s="125"/>
      <c r="J11" s="225"/>
      <c r="K11" s="126"/>
      <c r="L11" s="226"/>
    </row>
    <row r="12" spans="1:12" s="228" customFormat="1">
      <c r="A12" s="5" t="s">
        <v>27</v>
      </c>
      <c r="B12" s="24"/>
      <c r="C12" s="24"/>
      <c r="D12" s="31" t="s">
        <v>2</v>
      </c>
      <c r="E12" s="127"/>
      <c r="F12" s="128"/>
      <c r="G12" s="129"/>
      <c r="H12" s="129"/>
      <c r="I12" s="129">
        <f>I14+I21+I35</f>
        <v>345162.13</v>
      </c>
      <c r="J12" s="227">
        <f>IF(I12="","",I12/$E$777)</f>
        <v>0.16241651336416713</v>
      </c>
      <c r="K12" s="130"/>
    </row>
    <row r="13" spans="1:12" s="228" customFormat="1">
      <c r="A13" s="73"/>
      <c r="B13" s="74"/>
      <c r="C13" s="74"/>
      <c r="D13" s="75"/>
      <c r="E13" s="131"/>
      <c r="F13" s="132"/>
      <c r="G13" s="133"/>
      <c r="H13" s="133"/>
      <c r="I13" s="133"/>
      <c r="J13" s="229"/>
      <c r="K13" s="134"/>
    </row>
    <row r="14" spans="1:12" s="231" customFormat="1">
      <c r="A14" s="6" t="s">
        <v>28</v>
      </c>
      <c r="B14" s="25"/>
      <c r="C14" s="25"/>
      <c r="D14" s="32" t="str">
        <f>IFERROR(VLOOKUP($A14,[1]P.O.!$A:$J,4,),"")</f>
        <v>ADMINISTRAÇÃO E CANTEIRO DE OBRA</v>
      </c>
      <c r="E14" s="135"/>
      <c r="F14" s="136"/>
      <c r="G14" s="137"/>
      <c r="H14" s="137"/>
      <c r="I14" s="137">
        <f>SUM(I15:I20)</f>
        <v>165936.73000000001</v>
      </c>
      <c r="J14" s="230">
        <f>IF(I14="","",I14/$E$777)</f>
        <v>7.8081755740849065E-2</v>
      </c>
      <c r="K14" s="138"/>
    </row>
    <row r="15" spans="1:12" s="232" customFormat="1">
      <c r="A15" s="76"/>
      <c r="B15" s="77"/>
      <c r="C15" s="77"/>
      <c r="D15" s="78"/>
      <c r="E15" s="91"/>
      <c r="F15" s="139"/>
      <c r="G15" s="140"/>
      <c r="H15" s="140"/>
      <c r="I15" s="140"/>
      <c r="J15" s="159"/>
      <c r="K15" s="141"/>
    </row>
    <row r="16" spans="1:12" s="234" customFormat="1">
      <c r="A16" s="79" t="s">
        <v>29</v>
      </c>
      <c r="B16" s="80" t="str">
        <f>IFERROR(VLOOKUP($A16,[1]P.O.!$A:$J,2,),"")</f>
        <v>COMPS0009</v>
      </c>
      <c r="C16" s="80" t="str">
        <f>IFERROR(VLOOKUP($A16,[1]P.O.!$A:$J,3,),"")</f>
        <v>COMPOSIÇÃO</v>
      </c>
      <c r="D16" s="81" t="str">
        <f>IFERROR(VLOOKUP($A16,[1]P.O.!$A:$J,4,),"")</f>
        <v>EQUIPE DE ADMINISTRAÇÃO DA OBRA</v>
      </c>
      <c r="E16" s="142" t="str">
        <f>IFERROR(VLOOKUP($A16,[1]P.O.!$A:$J,5,),"")</f>
        <v>MÊS</v>
      </c>
      <c r="F16" s="143">
        <f>IFERROR(VLOOKUP($A16,[1]P.O.!$A:$J,6,),"")</f>
        <v>9</v>
      </c>
      <c r="G16" s="144">
        <f>IFERROR(VLOOKUP($A16,[1]P.O.!$A:$J,7,),"")</f>
        <v>12103.183225000001</v>
      </c>
      <c r="H16" s="144">
        <f>IFERROR(VLOOKUP($A16,[1]P.O.!$A:$J,8,),"")</f>
        <v>15128.98</v>
      </c>
      <c r="I16" s="144">
        <f>IFERROR(VLOOKUP($A16,[1]P.O.!$A:$J,9,),"")</f>
        <v>136160.82</v>
      </c>
      <c r="J16" s="233">
        <f>IF(I16="","",I16/$E$777)</f>
        <v>6.4070660478326394E-2</v>
      </c>
      <c r="K16" s="145">
        <f>IFERROR(VLOOKUP($A16,[1]P.O.!$A:$J,10,),"")</f>
        <v>0.25</v>
      </c>
      <c r="L16" s="265"/>
    </row>
    <row r="17" spans="1:12" s="235" customFormat="1">
      <c r="A17" s="79" t="s">
        <v>30</v>
      </c>
      <c r="B17" s="80" t="str">
        <f>IFERROR(VLOOKUP($A17,[1]P.O.!$A:$J,2,),"")</f>
        <v>COMPS0010</v>
      </c>
      <c r="C17" s="80" t="str">
        <f>IFERROR(VLOOKUP($A17,[1]P.O.!$A:$J,3,),"")</f>
        <v>COMPOSIÇÃO</v>
      </c>
      <c r="D17" s="81" t="str">
        <f>IFERROR(VLOOKUP($A17,[1]P.O.!$A:$J,4,),"")</f>
        <v>OPERAÇÃO E MANUTENÇÃO DO CANTEIRO</v>
      </c>
      <c r="E17" s="142" t="str">
        <f>IFERROR(VLOOKUP($A17,[1]P.O.!$A:$J,5,),"")</f>
        <v>CJ</v>
      </c>
      <c r="F17" s="143">
        <f>IFERROR(VLOOKUP($A17,[1]P.O.!$A:$J,6,),"")</f>
        <v>1</v>
      </c>
      <c r="G17" s="144">
        <f>IFERROR(VLOOKUP($A17,[1]P.O.!$A:$J,7,),"")</f>
        <v>20262.129999999997</v>
      </c>
      <c r="H17" s="144">
        <f>IFERROR(VLOOKUP($A17,[1]P.O.!$A:$J,8,),"")</f>
        <v>25327.66</v>
      </c>
      <c r="I17" s="144">
        <f>IFERROR(VLOOKUP($A17,[1]P.O.!$A:$J,9,),"")</f>
        <v>25327.66</v>
      </c>
      <c r="J17" s="233">
        <f>IF(I17="","",I17/$E$777)</f>
        <v>1.1917965128077872E-2</v>
      </c>
      <c r="K17" s="145">
        <f>IFERROR(VLOOKUP($A17,[1]P.O.!$A:$J,10,),"")</f>
        <v>0.25</v>
      </c>
      <c r="L17" s="265"/>
    </row>
    <row r="18" spans="1:12" s="236" customFormat="1">
      <c r="A18" s="79" t="s">
        <v>31</v>
      </c>
      <c r="B18" s="80" t="str">
        <f>IFERROR(VLOOKUP($A18,[1]P.O.!$A:$J,2,),"")</f>
        <v>COMPS0012</v>
      </c>
      <c r="C18" s="80" t="str">
        <f>IFERROR(VLOOKUP($A18,[1]P.O.!$A:$J,3,),"")</f>
        <v>COMPOSIÇÃO</v>
      </c>
      <c r="D18" s="81" t="str">
        <f>IFERROR(VLOOKUP($A18,[1]P.O.!$A:$J,4,),"")</f>
        <v>MOBILIZAÇÃO/ DESMOBILIZAÇÃO</v>
      </c>
      <c r="E18" s="142" t="str">
        <f>IFERROR(VLOOKUP($A18,[1]P.O.!$A:$J,5,),"")</f>
        <v>CJ</v>
      </c>
      <c r="F18" s="143">
        <f>IFERROR(VLOOKUP($A18,[1]P.O.!$A:$J,6,),"")</f>
        <v>1</v>
      </c>
      <c r="G18" s="144">
        <f>IFERROR(VLOOKUP($A18,[1]P.O.!$A:$J,7,),"")</f>
        <v>3558.6</v>
      </c>
      <c r="H18" s="144">
        <f>IFERROR(VLOOKUP($A18,[1]P.O.!$A:$J,8,),"")</f>
        <v>4448.25</v>
      </c>
      <c r="I18" s="144">
        <f>IFERROR(VLOOKUP($A18,[1]P.O.!$A:$J,9,),"")</f>
        <v>4448.25</v>
      </c>
      <c r="J18" s="233">
        <f>IF(I18="","",I18/$E$777)</f>
        <v>2.0931301344448085E-3</v>
      </c>
      <c r="K18" s="145">
        <f>IFERROR(VLOOKUP($A18,[1]P.O.!$A:$J,10,),"")</f>
        <v>0.25</v>
      </c>
      <c r="L18" s="265"/>
    </row>
    <row r="19" spans="1:12" s="236" customFormat="1">
      <c r="A19" s="79"/>
      <c r="B19" s="80"/>
      <c r="C19" s="80"/>
      <c r="D19" s="81"/>
      <c r="E19" s="142"/>
      <c r="F19" s="143"/>
      <c r="G19" s="144"/>
      <c r="H19" s="144"/>
      <c r="I19" s="144"/>
      <c r="J19" s="233"/>
      <c r="K19" s="145"/>
    </row>
    <row r="20" spans="1:12" s="236" customFormat="1">
      <c r="A20" s="79"/>
      <c r="B20" s="80"/>
      <c r="C20" s="80"/>
      <c r="D20" s="81"/>
      <c r="E20" s="142"/>
      <c r="F20" s="143"/>
      <c r="G20" s="144"/>
      <c r="H20" s="144"/>
      <c r="I20" s="144"/>
      <c r="J20" s="233"/>
      <c r="K20" s="145"/>
    </row>
    <row r="21" spans="1:12" s="231" customFormat="1">
      <c r="A21" s="6" t="s">
        <v>32</v>
      </c>
      <c r="B21" s="25"/>
      <c r="C21" s="25"/>
      <c r="D21" s="32" t="str">
        <f>IFERROR(VLOOKUP($A21,[1]P.O.!$A:$J,4,),"")</f>
        <v>INSTALAÇÕES FÍSICAS DO CANTEIRO</v>
      </c>
      <c r="E21" s="135"/>
      <c r="F21" s="136"/>
      <c r="G21" s="137"/>
      <c r="H21" s="137"/>
      <c r="I21" s="137">
        <f>SUM(I22:I33)</f>
        <v>40009.599999999999</v>
      </c>
      <c r="J21" s="230">
        <f>IF(I21="","",I21/$E$777)</f>
        <v>1.8826572118717022E-2</v>
      </c>
      <c r="K21" s="138"/>
    </row>
    <row r="22" spans="1:12" s="237" customFormat="1">
      <c r="A22" s="79"/>
      <c r="B22" s="80"/>
      <c r="C22" s="80"/>
      <c r="D22" s="81"/>
      <c r="E22" s="142"/>
      <c r="F22" s="143"/>
      <c r="G22" s="144"/>
      <c r="H22" s="144"/>
      <c r="I22" s="144"/>
      <c r="J22" s="233"/>
      <c r="K22" s="145"/>
    </row>
    <row r="23" spans="1:12" s="236" customFormat="1">
      <c r="A23" s="82" t="s">
        <v>33</v>
      </c>
      <c r="B23" s="83"/>
      <c r="C23" s="83"/>
      <c r="D23" s="84" t="str">
        <f>IFERROR(VLOOKUP($A23,[1]P.O.!$A:$J,4,),"")</f>
        <v>TRANSPORTE</v>
      </c>
      <c r="E23" s="146"/>
      <c r="F23" s="147"/>
      <c r="G23" s="148"/>
      <c r="H23" s="148"/>
      <c r="I23" s="144"/>
      <c r="J23" s="238"/>
      <c r="K23" s="149"/>
    </row>
    <row r="24" spans="1:12" s="239" customFormat="1">
      <c r="A24" s="79" t="s">
        <v>34</v>
      </c>
      <c r="B24" s="80" t="str">
        <f>IFERROR(VLOOKUP($A24,[1]P.O.!$A:$J,2,),"")</f>
        <v>COMPS0006</v>
      </c>
      <c r="C24" s="80" t="str">
        <f>IFERROR(VLOOKUP($A24,[1]P.O.!$A:$J,3,),"")</f>
        <v>COMPOSIÇÃO</v>
      </c>
      <c r="D24" s="81" t="str">
        <f>IFERROR(VLOOKUP($A24,[1]P.O.!$A:$J,4,),"")</f>
        <v>CARGA MECANIZADA E REMOÇÃO DE ENTULHO COM TRANSPORTE DE ATÉ 15,80KM</v>
      </c>
      <c r="E24" s="142" t="str">
        <f>IFERROR(VLOOKUP($A24,[1]P.O.!$A:$J,5,),"")</f>
        <v>M3</v>
      </c>
      <c r="F24" s="143">
        <f>IFERROR(VLOOKUP($A24,[1]P.O.!$A:$J,6,),"")</f>
        <v>90.7</v>
      </c>
      <c r="G24" s="144">
        <f>IFERROR(VLOOKUP($A24,[1]P.O.!$A:$J,7,),"")</f>
        <v>13.790000000000001</v>
      </c>
      <c r="H24" s="144">
        <f>IFERROR(VLOOKUP($A24,[1]P.O.!$A:$J,8,),"")</f>
        <v>17.239999999999998</v>
      </c>
      <c r="I24" s="144">
        <f>IFERROR(VLOOKUP($A24,[1]P.O.!$A:$J,9,),"")</f>
        <v>1563.67</v>
      </c>
      <c r="J24" s="233">
        <f t="shared" ref="J24:J26" si="0">IF(I24="","",I24/$E$777)</f>
        <v>7.3578706172704178E-4</v>
      </c>
      <c r="K24" s="145">
        <f>IFERROR(VLOOKUP($A24,[1]P.O.!$A:$J,10,),"")</f>
        <v>0.25</v>
      </c>
      <c r="L24" s="265"/>
    </row>
    <row r="25" spans="1:12" s="239" customFormat="1">
      <c r="A25" s="79" t="s">
        <v>35</v>
      </c>
      <c r="B25" s="80" t="str">
        <f>IFERROR(VLOOKUP($A25,[1]P.O.!$A:$J,2,),"")</f>
        <v>COMPS0007</v>
      </c>
      <c r="C25" s="80" t="str">
        <f>IFERROR(VLOOKUP($A25,[1]P.O.!$A:$J,3,),"")</f>
        <v>COMPOSIÇÃO</v>
      </c>
      <c r="D25" s="81" t="str">
        <f>IFERROR(VLOOKUP($A25,[1]P.O.!$A:$J,4,),"")</f>
        <v>CARGA MECANIZADA E REMOÇÃO DE ENTULHO COM TRANSPORTE DE ATÉ 10,1KM</v>
      </c>
      <c r="E25" s="142" t="str">
        <f>IFERROR(VLOOKUP($A25,[1]P.O.!$A:$J,5,),"")</f>
        <v>M3</v>
      </c>
      <c r="F25" s="143">
        <f>IFERROR(VLOOKUP($A25,[1]P.O.!$A:$J,6,),"")</f>
        <v>90.7</v>
      </c>
      <c r="G25" s="144">
        <f>IFERROR(VLOOKUP($A25,[1]P.O.!$A:$J,7,),"")</f>
        <v>8.83</v>
      </c>
      <c r="H25" s="144">
        <f>IFERROR(VLOOKUP($A25,[1]P.O.!$A:$J,8,),"")</f>
        <v>11.04</v>
      </c>
      <c r="I25" s="144">
        <f>IFERROR(VLOOKUP($A25,[1]P.O.!$A:$J,9,),"")</f>
        <v>1001.33</v>
      </c>
      <c r="J25" s="233">
        <f t="shared" si="0"/>
        <v>4.7117720396192209E-4</v>
      </c>
      <c r="K25" s="145">
        <f>IFERROR(VLOOKUP($A25,[1]P.O.!$A:$J,10,),"")</f>
        <v>0.25</v>
      </c>
      <c r="L25" s="265"/>
    </row>
    <row r="26" spans="1:12" s="232" customFormat="1">
      <c r="A26" s="79" t="s">
        <v>36</v>
      </c>
      <c r="B26" s="80" t="str">
        <f>IFERROR(VLOOKUP($A26,[1]P.O.!$A:$J,2,),"")</f>
        <v>COTIS0004</v>
      </c>
      <c r="C26" s="80" t="str">
        <f>IFERROR(VLOOKUP($A26,[1]P.O.!$A:$J,3,),"")</f>
        <v>COTAÇÃO</v>
      </c>
      <c r="D26" s="81" t="str">
        <f>IFERROR(VLOOKUP($A26,[1]P.O.!$A:$J,4,),"")</f>
        <v>TRATAMENTO DE RESÍDUOS DA CONSTRUÇÃO CIVIL E DEMOLIÇÃO (ENTULHOS/METRALHA)</v>
      </c>
      <c r="E26" s="142" t="str">
        <f>IFERROR(VLOOKUP($A26,[1]P.O.!$A:$J,5,),"")</f>
        <v>TON</v>
      </c>
      <c r="F26" s="143">
        <f>IFERROR(VLOOKUP($A26,[1]P.O.!$A:$J,6,),"")</f>
        <v>57.920000000000009</v>
      </c>
      <c r="G26" s="144">
        <f>IFERROR(VLOOKUP($A26,[1]P.O.!$A:$J,7,),"")</f>
        <v>81.784024653374018</v>
      </c>
      <c r="H26" s="144">
        <f>IFERROR(VLOOKUP($A26,[1]P.O.!$A:$J,8,),"")</f>
        <v>95.52</v>
      </c>
      <c r="I26" s="144">
        <f>IFERROR(VLOOKUP($A26,[1]P.O.!$A:$J,9,),"")</f>
        <v>5532.52</v>
      </c>
      <c r="J26" s="233">
        <f t="shared" si="0"/>
        <v>2.6033348690875269E-3</v>
      </c>
      <c r="K26" s="145">
        <f>IFERROR(VLOOKUP($A26,[1]P.O.!$A:$J,10,),"")</f>
        <v>0.16800000000000001</v>
      </c>
      <c r="L26" s="265"/>
    </row>
    <row r="27" spans="1:12" s="237" customFormat="1">
      <c r="A27" s="79"/>
      <c r="B27" s="80"/>
      <c r="C27" s="80"/>
      <c r="D27" s="81"/>
      <c r="E27" s="142"/>
      <c r="F27" s="143"/>
      <c r="G27" s="144"/>
      <c r="H27" s="144"/>
      <c r="I27" s="144"/>
      <c r="J27" s="233"/>
      <c r="K27" s="145"/>
    </row>
    <row r="28" spans="1:12" s="235" customFormat="1">
      <c r="A28" s="82" t="s">
        <v>37</v>
      </c>
      <c r="B28" s="83"/>
      <c r="C28" s="83"/>
      <c r="D28" s="84" t="str">
        <f>IFERROR(VLOOKUP($A28,[1]P.O.!$A:$J,4,),"")</f>
        <v>ELEMENTOS PROVISÓRIOS</v>
      </c>
      <c r="E28" s="146"/>
      <c r="F28" s="147"/>
      <c r="G28" s="148"/>
      <c r="H28" s="148"/>
      <c r="I28" s="144"/>
      <c r="J28" s="238"/>
      <c r="K28" s="149"/>
    </row>
    <row r="29" spans="1:12" s="236" customFormat="1" ht="33">
      <c r="A29" s="79" t="s">
        <v>38</v>
      </c>
      <c r="B29" s="80" t="str">
        <f>IFERROR(VLOOKUP($A29,[1]P.O.!$A:$J,2,),"")</f>
        <v>74220/001</v>
      </c>
      <c r="C29" s="80" t="str">
        <f>IFERROR(VLOOKUP($A29,[1]P.O.!$A:$J,3,),"")</f>
        <v>SINAPI SERVIÇO</v>
      </c>
      <c r="D29" s="81" t="str">
        <f>IFERROR(VLOOKUP($A29,[1]P.O.!$A:$J,4,),"")</f>
        <v>TAPUME DE CHAPA DE MADEIRA COMPENSADA, E= 6MM, COM PINTURA A CAL E REA   PROVEITAMENTO DE 2X</v>
      </c>
      <c r="E29" s="142" t="str">
        <f>IFERROR(VLOOKUP($A29,[1]P.O.!$A:$J,5,),"")</f>
        <v>M2</v>
      </c>
      <c r="F29" s="143">
        <f>IFERROR(VLOOKUP($A29,[1]P.O.!$A:$J,6,),"")</f>
        <v>120</v>
      </c>
      <c r="G29" s="144">
        <f>IFERROR(VLOOKUP($A29,[1]P.O.!$A:$J,7,),"")</f>
        <v>43.84</v>
      </c>
      <c r="H29" s="144">
        <f>IFERROR(VLOOKUP($A29,[1]P.O.!$A:$J,8,),"")</f>
        <v>54.8</v>
      </c>
      <c r="I29" s="144">
        <f>IFERROR(VLOOKUP($A29,[1]P.O.!$A:$J,9,),"")</f>
        <v>6576</v>
      </c>
      <c r="J29" s="233">
        <f t="shared" ref="J29:J33" si="1">IF(I29="","",I29/$E$777)</f>
        <v>3.0943458133218817E-3</v>
      </c>
      <c r="K29" s="145">
        <f>IFERROR(VLOOKUP($A29,[1]P.O.!$A:$J,10,),"")</f>
        <v>0.25</v>
      </c>
      <c r="L29" s="265"/>
    </row>
    <row r="30" spans="1:12" s="236" customFormat="1">
      <c r="A30" s="79" t="s">
        <v>39</v>
      </c>
      <c r="B30" s="80" t="str">
        <f>IFERROR(VLOOKUP($A30,[1]P.O.!$A:$J,2,),"")</f>
        <v>COMPS0005</v>
      </c>
      <c r="C30" s="80" t="str">
        <f>IFERROR(VLOOKUP($A30,[1]P.O.!$A:$J,3,),"")</f>
        <v>COMPOSIÇÃO</v>
      </c>
      <c r="D30" s="81" t="str">
        <f>IFERROR(VLOOKUP($A30,[1]P.O.!$A:$J,4,),"")</f>
        <v>RETIRADA E REASSENTAMENTO DE TAPUME EM CHAPAS DE MADEIRA COMPENSADA DE 6 MM.</v>
      </c>
      <c r="E30" s="142" t="str">
        <f>IFERROR(VLOOKUP($A30,[1]P.O.!$A:$J,5,),"")</f>
        <v>M2</v>
      </c>
      <c r="F30" s="143">
        <f>IFERROR(VLOOKUP($A30,[1]P.O.!$A:$J,6,),"")</f>
        <v>120</v>
      </c>
      <c r="G30" s="144">
        <f>IFERROR(VLOOKUP($A30,[1]P.O.!$A:$J,7,),"")</f>
        <v>34.9</v>
      </c>
      <c r="H30" s="144">
        <f>IFERROR(VLOOKUP($A30,[1]P.O.!$A:$J,8,),"")</f>
        <v>43.63</v>
      </c>
      <c r="I30" s="144">
        <f>IFERROR(VLOOKUP($A30,[1]P.O.!$A:$J,9,),"")</f>
        <v>5235.6000000000004</v>
      </c>
      <c r="J30" s="233">
        <f t="shared" si="1"/>
        <v>2.4636187561174034E-3</v>
      </c>
      <c r="K30" s="145">
        <f>IFERROR(VLOOKUP($A30,[1]P.O.!$A:$J,10,),"")</f>
        <v>0.25</v>
      </c>
      <c r="L30" s="265"/>
    </row>
    <row r="31" spans="1:12" s="236" customFormat="1">
      <c r="A31" s="79" t="s">
        <v>40</v>
      </c>
      <c r="B31" s="80" t="str">
        <f>IFERROR(VLOOKUP($A31,[1]P.O.!$A:$J,2,),"")</f>
        <v>74209/001</v>
      </c>
      <c r="C31" s="80" t="str">
        <f>IFERROR(VLOOKUP($A31,[1]P.O.!$A:$J,3,),"")</f>
        <v>SINAPI SERVIÇO</v>
      </c>
      <c r="D31" s="81" t="str">
        <f>IFERROR(VLOOKUP($A31,[1]P.O.!$A:$J,4,),"")</f>
        <v>PLACA DE OBRA EM CHAPA DE ACO GALVANIZADO</v>
      </c>
      <c r="E31" s="142" t="str">
        <f>IFERROR(VLOOKUP($A31,[1]P.O.!$A:$J,5,),"")</f>
        <v>M2</v>
      </c>
      <c r="F31" s="143">
        <f>IFERROR(VLOOKUP($A31,[1]P.O.!$A:$J,6,),"")</f>
        <v>12</v>
      </c>
      <c r="G31" s="144">
        <f>IFERROR(VLOOKUP($A31,[1]P.O.!$A:$J,7,),"")</f>
        <v>281.58999999999997</v>
      </c>
      <c r="H31" s="144">
        <f>IFERROR(VLOOKUP($A31,[1]P.O.!$A:$J,8,),"")</f>
        <v>351.99</v>
      </c>
      <c r="I31" s="144">
        <f>IFERROR(VLOOKUP($A31,[1]P.O.!$A:$J,9,),"")</f>
        <v>4223.88</v>
      </c>
      <c r="J31" s="233">
        <f t="shared" si="1"/>
        <v>1.9875525234145422E-3</v>
      </c>
      <c r="K31" s="145">
        <f>IFERROR(VLOOKUP($A31,[1]P.O.!$A:$J,10,),"")</f>
        <v>0.25</v>
      </c>
      <c r="L31" s="265"/>
    </row>
    <row r="32" spans="1:12" s="236" customFormat="1" ht="33">
      <c r="A32" s="79" t="s">
        <v>41</v>
      </c>
      <c r="B32" s="80" t="str">
        <f>IFERROR(VLOOKUP($A32,[1]P.O.!$A:$J,2,),"")</f>
        <v>COMPS0013</v>
      </c>
      <c r="C32" s="80" t="str">
        <f>IFERROR(VLOOKUP($A32,[1]P.O.!$A:$J,3,),"")</f>
        <v>COMPOSIÇÃO</v>
      </c>
      <c r="D32" s="81" t="str">
        <f>IFERROR(VLOOKUP($A32,[1]P.O.!$A:$J,4,),"")</f>
        <v>BARRACAO DE OBRA EM CHAPA DE MADEIRA COMPENSADA COM BANHEIRO, COBERTURA EM FIBROCIMENTO 4 MM, INCLUSO INSTALACOES HIDROSANITARIAS E ELETRICAS - ESCRITÓRIO</v>
      </c>
      <c r="E32" s="142" t="str">
        <f>IFERROR(VLOOKUP($A32,[1]P.O.!$A:$J,5,),"")</f>
        <v>M2</v>
      </c>
      <c r="F32" s="143">
        <f>IFERROR(VLOOKUP($A32,[1]P.O.!$A:$J,6,),"")</f>
        <v>50</v>
      </c>
      <c r="G32" s="144">
        <f>IFERROR(VLOOKUP($A32,[1]P.O.!$A:$J,7,),"")</f>
        <v>186.85000000000002</v>
      </c>
      <c r="H32" s="144">
        <f>IFERROR(VLOOKUP($A32,[1]P.O.!$A:$J,8,),"")</f>
        <v>233.56</v>
      </c>
      <c r="I32" s="144">
        <f>IFERROR(VLOOKUP($A32,[1]P.O.!$A:$J,9,),"")</f>
        <v>11678</v>
      </c>
      <c r="J32" s="233">
        <f t="shared" si="1"/>
        <v>5.495098906321918E-3</v>
      </c>
      <c r="K32" s="145">
        <f>IFERROR(VLOOKUP($A32,[1]P.O.!$A:$J,10,),"")</f>
        <v>0.25</v>
      </c>
      <c r="L32" s="265"/>
    </row>
    <row r="33" spans="1:12" s="228" customFormat="1" ht="33">
      <c r="A33" s="79" t="s">
        <v>42</v>
      </c>
      <c r="B33" s="80" t="str">
        <f>IFERROR(VLOOKUP($A33,[1]P.O.!$A:$J,2,),"")</f>
        <v>COMPS0014</v>
      </c>
      <c r="C33" s="80" t="str">
        <f>IFERROR(VLOOKUP($A33,[1]P.O.!$A:$J,3,),"")</f>
        <v>COMPOSIÇÃO</v>
      </c>
      <c r="D33" s="81" t="str">
        <f>IFERROR(VLOOKUP($A33,[1]P.O.!$A:$J,4,),"")</f>
        <v>BARRACAO DE OBRA EM CHAPA DE MADEIRA COMPENSADA SEM BANHEIRO, COBERTURA EM FIBROCIMENTO 4 MM, INCLUSO INSTALACOES HIDROSANITARIAS E ELETRICAS - ALMOXARIFADO</v>
      </c>
      <c r="E33" s="142" t="str">
        <f>IFERROR(VLOOKUP($A33,[1]P.O.!$A:$J,5,),"")</f>
        <v>M2</v>
      </c>
      <c r="F33" s="143">
        <f>IFERROR(VLOOKUP($A33,[1]P.O.!$A:$J,6,),"")</f>
        <v>20</v>
      </c>
      <c r="G33" s="144">
        <f>IFERROR(VLOOKUP($A33,[1]P.O.!$A:$J,7,),"")</f>
        <v>167.94</v>
      </c>
      <c r="H33" s="144">
        <f>IFERROR(VLOOKUP($A33,[1]P.O.!$A:$J,8,),"")</f>
        <v>209.93</v>
      </c>
      <c r="I33" s="144">
        <f>IFERROR(VLOOKUP($A33,[1]P.O.!$A:$J,9,),"")</f>
        <v>4198.6000000000004</v>
      </c>
      <c r="J33" s="233">
        <f t="shared" si="1"/>
        <v>1.9756569847647889E-3</v>
      </c>
      <c r="K33" s="145">
        <f>IFERROR(VLOOKUP($A33,[1]P.O.!$A:$J,10,),"")</f>
        <v>0.25</v>
      </c>
      <c r="L33" s="265"/>
    </row>
    <row r="34" spans="1:12" s="228" customFormat="1">
      <c r="A34" s="73"/>
      <c r="B34" s="74"/>
      <c r="C34" s="74"/>
      <c r="D34" s="75"/>
      <c r="E34" s="131"/>
      <c r="F34" s="132"/>
      <c r="G34" s="133"/>
      <c r="H34" s="133"/>
      <c r="I34" s="133"/>
      <c r="J34" s="229"/>
      <c r="K34" s="134"/>
    </row>
    <row r="35" spans="1:12" s="231" customFormat="1">
      <c r="A35" s="6" t="s">
        <v>182</v>
      </c>
      <c r="B35" s="25"/>
      <c r="C35" s="25"/>
      <c r="D35" s="32" t="str">
        <f>IFERROR(VLOOKUP($A35,[1]P.O.!$A:$J,4,),"")</f>
        <v>SERVIÇOS ARQUEOLÓGICOS</v>
      </c>
      <c r="E35" s="135"/>
      <c r="F35" s="136"/>
      <c r="G35" s="137"/>
      <c r="H35" s="137"/>
      <c r="I35" s="137">
        <f>SUM(I36:I39)</f>
        <v>139215.79999999999</v>
      </c>
      <c r="J35" s="230">
        <f>IF(I35="","",I35/$E$777)</f>
        <v>6.5508185504601024E-2</v>
      </c>
      <c r="K35" s="138"/>
    </row>
    <row r="36" spans="1:12" s="232" customFormat="1">
      <c r="A36" s="76"/>
      <c r="B36" s="77"/>
      <c r="C36" s="77"/>
      <c r="D36" s="78"/>
      <c r="E36" s="91"/>
      <c r="F36" s="139"/>
      <c r="G36" s="140"/>
      <c r="H36" s="140"/>
      <c r="I36" s="140"/>
      <c r="J36" s="159"/>
      <c r="K36" s="141"/>
    </row>
    <row r="37" spans="1:12" s="234" customFormat="1" ht="132">
      <c r="A37" s="79" t="s">
        <v>183</v>
      </c>
      <c r="B37" s="80" t="str">
        <f>IFERROR(VLOOKUP($A37,[1]P.O.!$A:$J,2,),"")</f>
        <v>COTSV0001</v>
      </c>
      <c r="C37" s="80" t="str">
        <f>IFERROR(VLOOKUP($A37,[1]P.O.!$A:$J,3,),"")</f>
        <v>COTAÇÃO</v>
      </c>
      <c r="D37" s="81" t="str">
        <f>IFERROR(VLOOKUP($A37,[1]P.O.!$A:$J,4,),"")</f>
        <v>SERVIÇO ARQUEOLÓGICO A SER EXECUTADO NO LOCAL DA OBRA CONTENDO OS SEGUINTE PRODUTOS:• REALIZAÇÃO DE PESQUISA HISTÓRICA; • PROSPECÇÃO ARQUEOLÓGICA DE COTAS NEGATIVAS, INTERNA E EXTERNA, PARA RECUPERAÇÃO DA PLANTA E ALTERAÇÕES ARQUITETÔNICAS; • PROSPECÇÕES ARQUEOLÓGICAS DE COTAS POSITIVAS PARA IDENTIFICAÇÃO DOS MATERIAIS, SISTEMA CONSTRUTIVO E DESENVOLVIMENTO ESTRUTURAL;• DOCUMENTÁRIO FOTOGRÁFICO DOS TRABALHOS DESENVOLVIDOS, DA SITUAÇÃO ENCONTRADA E DE ENTREGA SERVIÇOS;• CATALOGAÇÃO, DOCUMENTAÇÃO E ACONDICIONAMENTO DO MATERIAL COLETADO;• RELATÓRIO FINAL COM OS RESULTADOS DO TRABALHO.</v>
      </c>
      <c r="E37" s="142" t="str">
        <f>IFERROR(VLOOKUP($A37,[1]P.O.!$A:$J,5,),"")</f>
        <v>UND</v>
      </c>
      <c r="F37" s="143">
        <f>IFERROR(VLOOKUP($A37,[1]P.O.!$A:$J,6,),"")</f>
        <v>1</v>
      </c>
      <c r="G37" s="144">
        <f>IFERROR(VLOOKUP($A37,[1]P.O.!$A:$J,7,),"")</f>
        <v>119191.60716506213</v>
      </c>
      <c r="H37" s="144">
        <f>IFERROR(VLOOKUP($A37,[1]P.O.!$A:$J,8,),"")</f>
        <v>139215.79999999999</v>
      </c>
      <c r="I37" s="144">
        <f>IFERROR(VLOOKUP($A37,[1]P.O.!$A:$J,9,),"")</f>
        <v>139215.79999999999</v>
      </c>
      <c r="J37" s="233">
        <f>IF(I37="","",I37/$E$777)</f>
        <v>6.5508185504601024E-2</v>
      </c>
      <c r="K37" s="145">
        <f>IFERROR(VLOOKUP($A37,[1]P.O.!$A:$J,10,),"")</f>
        <v>0.16800000000000001</v>
      </c>
      <c r="L37" s="265"/>
    </row>
    <row r="38" spans="1:12" s="241" customFormat="1">
      <c r="A38" s="85"/>
      <c r="B38" s="86"/>
      <c r="C38" s="86"/>
      <c r="D38" s="87"/>
      <c r="E38" s="150"/>
      <c r="F38" s="151"/>
      <c r="G38" s="152"/>
      <c r="H38" s="152"/>
      <c r="I38" s="152"/>
      <c r="J38" s="240"/>
      <c r="K38" s="153"/>
    </row>
    <row r="39" spans="1:12" s="241" customFormat="1">
      <c r="A39" s="85"/>
      <c r="B39" s="86"/>
      <c r="C39" s="86"/>
      <c r="D39" s="87"/>
      <c r="E39" s="150"/>
      <c r="F39" s="151"/>
      <c r="G39" s="152"/>
      <c r="H39" s="152"/>
      <c r="I39" s="152"/>
      <c r="J39" s="240"/>
      <c r="K39" s="153"/>
    </row>
    <row r="40" spans="1:12" s="228" customFormat="1">
      <c r="A40" s="5" t="s">
        <v>43</v>
      </c>
      <c r="B40" s="24"/>
      <c r="C40" s="24"/>
      <c r="D40" s="31" t="s">
        <v>3</v>
      </c>
      <c r="E40" s="127"/>
      <c r="F40" s="128"/>
      <c r="G40" s="129"/>
      <c r="H40" s="129"/>
      <c r="I40" s="129">
        <f>I42+I320</f>
        <v>1035790.4400000001</v>
      </c>
      <c r="J40" s="227">
        <f>IF(I40="","",I40/$E$777)</f>
        <v>0.48739261123674416</v>
      </c>
      <c r="K40" s="130"/>
    </row>
    <row r="41" spans="1:12" s="228" customFormat="1">
      <c r="A41" s="73"/>
      <c r="B41" s="74"/>
      <c r="C41" s="74"/>
      <c r="D41" s="75"/>
      <c r="E41" s="131"/>
      <c r="F41" s="132"/>
      <c r="G41" s="133"/>
      <c r="H41" s="133"/>
      <c r="I41" s="133"/>
      <c r="J41" s="229"/>
      <c r="K41" s="134"/>
    </row>
    <row r="42" spans="1:12" s="231" customFormat="1">
      <c r="A42" s="88" t="s">
        <v>44</v>
      </c>
      <c r="B42" s="89"/>
      <c r="C42" s="89"/>
      <c r="D42" s="90" t="str">
        <f>IFERROR(VLOOKUP($A42,[2]P.O.!$A:$J,4,),"")</f>
        <v>ARQUITETURA</v>
      </c>
      <c r="E42" s="154"/>
      <c r="F42" s="155"/>
      <c r="G42" s="156"/>
      <c r="H42" s="156"/>
      <c r="I42" s="156">
        <f>SUM(I43:I319)</f>
        <v>763052.87</v>
      </c>
      <c r="J42" s="242">
        <f>IF(I42="","",I42/$E$777)</f>
        <v>0.35905557384850151</v>
      </c>
      <c r="K42" s="157"/>
    </row>
    <row r="43" spans="1:12" s="232" customFormat="1">
      <c r="A43" s="76"/>
      <c r="B43" s="91"/>
      <c r="C43" s="91"/>
      <c r="D43" s="78"/>
      <c r="E43" s="91"/>
      <c r="F43" s="139"/>
      <c r="G43" s="158"/>
      <c r="H43" s="158"/>
      <c r="I43" s="158"/>
      <c r="J43" s="159"/>
      <c r="K43" s="141"/>
    </row>
    <row r="44" spans="1:12" s="244" customFormat="1">
      <c r="A44" s="92" t="s">
        <v>45</v>
      </c>
      <c r="B44" s="93"/>
      <c r="C44" s="93"/>
      <c r="D44" s="94" t="str">
        <f>IFERROR(VLOOKUP($A44,[2]P.O.!$A:$J,4,),"")</f>
        <v>DEMOLIÇÕES</v>
      </c>
      <c r="E44" s="93"/>
      <c r="F44" s="160"/>
      <c r="G44" s="161"/>
      <c r="H44" s="161"/>
      <c r="I44" s="161"/>
      <c r="J44" s="162"/>
      <c r="K44" s="243"/>
    </row>
    <row r="45" spans="1:12" s="232" customFormat="1">
      <c r="A45" s="76"/>
      <c r="B45" s="91"/>
      <c r="C45" s="91"/>
      <c r="D45" s="78"/>
      <c r="E45" s="91"/>
      <c r="F45" s="139"/>
      <c r="G45" s="158"/>
      <c r="H45" s="158"/>
      <c r="I45" s="158"/>
      <c r="J45" s="159"/>
      <c r="K45" s="141"/>
    </row>
    <row r="46" spans="1:12" s="235" customFormat="1">
      <c r="A46" s="95" t="s">
        <v>186</v>
      </c>
      <c r="B46" s="96"/>
      <c r="C46" s="96"/>
      <c r="D46" s="97" t="str">
        <f>IFERROR(VLOOKUP($A46,[2]P.O.!$A:$J,4,),"")</f>
        <v>PISO</v>
      </c>
      <c r="E46" s="96"/>
      <c r="F46" s="163"/>
      <c r="G46" s="164"/>
      <c r="H46" s="164"/>
      <c r="I46" s="164"/>
      <c r="J46" s="165"/>
      <c r="K46" s="181"/>
    </row>
    <row r="47" spans="1:12" s="232" customFormat="1" ht="33">
      <c r="A47" s="76" t="s">
        <v>187</v>
      </c>
      <c r="B47" s="91">
        <f>IFERROR(VLOOKUP($A47,[2]P.O.!$A:$J,2,),"")</f>
        <v>85370</v>
      </c>
      <c r="C47" s="91" t="str">
        <f>IFERROR(VLOOKUP($A47,[2]P.O.!$A:$J,3,),"")</f>
        <v>SINAPI SERVIÇO</v>
      </c>
      <c r="D47" s="78" t="str">
        <f>IFERROR(VLOOKUP($A47,[2]P.O.!$A:$J,4,),"")</f>
        <v>DEMOLICAO MANUAL DE LAJE PREMOLDADA COM TRANSPORTE E CARGA EM CAMINHAO   BASCULANTE</v>
      </c>
      <c r="E47" s="91" t="str">
        <f>IFERROR(VLOOKUP($A47,[2]P.O.!$A:$J,5,),"")</f>
        <v>M3</v>
      </c>
      <c r="F47" s="139">
        <f>IFERROR(VLOOKUP($A47,[2]P.O.!$A:$J,6,),"")</f>
        <v>7.95</v>
      </c>
      <c r="G47" s="158">
        <f>IFERROR(VLOOKUP($A47,[2]P.O.!$A:$J,7,),"")</f>
        <v>188.24</v>
      </c>
      <c r="H47" s="158">
        <f>IFERROR(VLOOKUP($A47,[2]P.O.!$A:$J,8,),"")</f>
        <v>235.3</v>
      </c>
      <c r="I47" s="158">
        <f>IFERROR(VLOOKUP($A47,[2]P.O.!$A:$J,9,),"")</f>
        <v>1870.64</v>
      </c>
      <c r="J47" s="159">
        <f t="shared" ref="J47:J52" si="2">IF(I47="","",I47/$E$777)</f>
        <v>8.8023221597208711E-4</v>
      </c>
      <c r="K47" s="145">
        <f>IFERROR(VLOOKUP($A47,[2]P.O.!$A:$J,10,),"")</f>
        <v>0.25</v>
      </c>
      <c r="L47" s="265"/>
    </row>
    <row r="48" spans="1:12" s="232" customFormat="1">
      <c r="A48" s="76" t="s">
        <v>188</v>
      </c>
      <c r="B48" s="91">
        <f>IFERROR(VLOOKUP($A48,[2]P.O.!$A:$J,2,),"")</f>
        <v>85371</v>
      </c>
      <c r="C48" s="91" t="str">
        <f>IFERROR(VLOOKUP($A48,[2]P.O.!$A:$J,3,),"")</f>
        <v>SINAPI SERVIÇO</v>
      </c>
      <c r="D48" s="78" t="str">
        <f>IFERROR(VLOOKUP($A48,[2]P.O.!$A:$J,4,),"")</f>
        <v>REMOCAO DE PISO EM CARPETE</v>
      </c>
      <c r="E48" s="91" t="str">
        <f>IFERROR(VLOOKUP($A48,[2]P.O.!$A:$J,5,),"")</f>
        <v>M2</v>
      </c>
      <c r="F48" s="139">
        <f>IFERROR(VLOOKUP($A48,[2]P.O.!$A:$J,6,),"")</f>
        <v>70.680000000000007</v>
      </c>
      <c r="G48" s="158">
        <f>IFERROR(VLOOKUP($A48,[2]P.O.!$A:$J,7,),"")</f>
        <v>2.25</v>
      </c>
      <c r="H48" s="158">
        <f>IFERROR(VLOOKUP($A48,[2]P.O.!$A:$J,8,),"")</f>
        <v>2.81</v>
      </c>
      <c r="I48" s="158">
        <f>IFERROR(VLOOKUP($A48,[2]P.O.!$A:$J,9,),"")</f>
        <v>198.61</v>
      </c>
      <c r="J48" s="159">
        <f t="shared" si="2"/>
        <v>9.3456207722606281E-5</v>
      </c>
      <c r="K48" s="145">
        <f>IFERROR(VLOOKUP($A48,[2]P.O.!$A:$J,10,),"")</f>
        <v>0.25</v>
      </c>
      <c r="L48" s="265"/>
    </row>
    <row r="49" spans="1:12" s="232" customFormat="1">
      <c r="A49" s="76" t="s">
        <v>189</v>
      </c>
      <c r="B49" s="91">
        <f>IFERROR(VLOOKUP($A49,[2]P.O.!$A:$J,2,),"")</f>
        <v>85376</v>
      </c>
      <c r="C49" s="91" t="str">
        <f>IFERROR(VLOOKUP($A49,[2]P.O.!$A:$J,3,),"")</f>
        <v>SINAPI SERVIÇO</v>
      </c>
      <c r="D49" s="78" t="str">
        <f>IFERROR(VLOOKUP($A49,[2]P.O.!$A:$J,4,),"")</f>
        <v>DEMOLICAO DE PISO VINILICO</v>
      </c>
      <c r="E49" s="91" t="str">
        <f>IFERROR(VLOOKUP($A49,[2]P.O.!$A:$J,5,),"")</f>
        <v>M2</v>
      </c>
      <c r="F49" s="139">
        <f>IFERROR(VLOOKUP($A49,[2]P.O.!$A:$J,6,),"")</f>
        <v>35.32</v>
      </c>
      <c r="G49" s="158">
        <f>IFERROR(VLOOKUP($A49,[2]P.O.!$A:$J,7,),"")</f>
        <v>4.12</v>
      </c>
      <c r="H49" s="158">
        <f>IFERROR(VLOOKUP($A49,[2]P.O.!$A:$J,8,),"")</f>
        <v>5.15</v>
      </c>
      <c r="I49" s="158">
        <f>IFERROR(VLOOKUP($A49,[2]P.O.!$A:$J,9,),"")</f>
        <v>181.9</v>
      </c>
      <c r="J49" s="159">
        <f t="shared" si="2"/>
        <v>8.5593294319229055E-5</v>
      </c>
      <c r="K49" s="145">
        <f>IFERROR(VLOOKUP($A49,[2]P.O.!$A:$J,10,),"")</f>
        <v>0.25</v>
      </c>
      <c r="L49" s="265"/>
    </row>
    <row r="50" spans="1:12" s="232" customFormat="1">
      <c r="A50" s="76" t="s">
        <v>190</v>
      </c>
      <c r="B50" s="91" t="str">
        <f>IFERROR(VLOOKUP($A50,[2]P.O.!$A:$J,2,),"")</f>
        <v>73801/001</v>
      </c>
      <c r="C50" s="91" t="str">
        <f>IFERROR(VLOOKUP($A50,[2]P.O.!$A:$J,3,),"")</f>
        <v>SINAPI SERVIÇO</v>
      </c>
      <c r="D50" s="78" t="str">
        <f>IFERROR(VLOOKUP($A50,[2]P.O.!$A:$J,4,),"")</f>
        <v>DEMOLICAO DE PISO DE ALTA RESISTENCIA</v>
      </c>
      <c r="E50" s="91" t="str">
        <f>IFERROR(VLOOKUP($A50,[2]P.O.!$A:$J,5,),"")</f>
        <v>M2</v>
      </c>
      <c r="F50" s="139">
        <f>IFERROR(VLOOKUP($A50,[2]P.O.!$A:$J,6,),"")</f>
        <v>162.59</v>
      </c>
      <c r="G50" s="158">
        <f>IFERROR(VLOOKUP($A50,[2]P.O.!$A:$J,7,),"")</f>
        <v>18.39</v>
      </c>
      <c r="H50" s="158">
        <f>IFERROR(VLOOKUP($A50,[2]P.O.!$A:$J,8,),"")</f>
        <v>22.99</v>
      </c>
      <c r="I50" s="158">
        <f>IFERROR(VLOOKUP($A50,[2]P.O.!$A:$J,9,),"")</f>
        <v>3737.94</v>
      </c>
      <c r="J50" s="159">
        <f t="shared" si="2"/>
        <v>1.7588927903662399E-3</v>
      </c>
      <c r="K50" s="145">
        <f>IFERROR(VLOOKUP($A50,[2]P.O.!$A:$J,10,),"")</f>
        <v>0.25</v>
      </c>
      <c r="L50" s="265"/>
    </row>
    <row r="51" spans="1:12" s="232" customFormat="1">
      <c r="A51" s="76" t="s">
        <v>191</v>
      </c>
      <c r="B51" s="91">
        <f>IFERROR(VLOOKUP($A51,[2]P.O.!$A:$J,2,),"")</f>
        <v>85335</v>
      </c>
      <c r="C51" s="91" t="str">
        <f>IFERROR(VLOOKUP($A51,[2]P.O.!$A:$J,3,),"")</f>
        <v>SINAPI SERVIÇO</v>
      </c>
      <c r="D51" s="78" t="str">
        <f>IFERROR(VLOOKUP($A51,[2]P.O.!$A:$J,4,),"")</f>
        <v>RETIRADA DE MEIO FIO C/ EMPILHAMENTO E S/ REMOCAO</v>
      </c>
      <c r="E51" s="91" t="str">
        <f>IFERROR(VLOOKUP($A51,[2]P.O.!$A:$J,5,),"")</f>
        <v>M</v>
      </c>
      <c r="F51" s="139">
        <f>IFERROR(VLOOKUP($A51,[2]P.O.!$A:$J,6,),"")</f>
        <v>61.88</v>
      </c>
      <c r="G51" s="158">
        <f>IFERROR(VLOOKUP($A51,[2]P.O.!$A:$J,7,),"")</f>
        <v>5.69</v>
      </c>
      <c r="H51" s="158">
        <f>IFERROR(VLOOKUP($A51,[2]P.O.!$A:$J,8,),"")</f>
        <v>7.11</v>
      </c>
      <c r="I51" s="158">
        <f>IFERROR(VLOOKUP($A51,[2]P.O.!$A:$J,9,),"")</f>
        <v>439.97</v>
      </c>
      <c r="J51" s="159">
        <f t="shared" si="2"/>
        <v>2.0702848654002864E-4</v>
      </c>
      <c r="K51" s="145">
        <f>IFERROR(VLOOKUP($A51,[2]P.O.!$A:$J,10,),"")</f>
        <v>0.25</v>
      </c>
      <c r="L51" s="265"/>
    </row>
    <row r="52" spans="1:12" s="232" customFormat="1">
      <c r="A52" s="76" t="s">
        <v>192</v>
      </c>
      <c r="B52" s="91" t="str">
        <f>IFERROR(VLOOKUP($A52,[2]P.O.!$A:$J,2,),"")</f>
        <v>9927/001</v>
      </c>
      <c r="C52" s="91" t="str">
        <f>IFERROR(VLOOKUP($A52,[2]P.O.!$A:$J,3,),"")</f>
        <v>SINAPI EMLURB</v>
      </c>
      <c r="D52" s="78" t="str">
        <f>IFERROR(VLOOKUP($A52,[2]P.O.!$A:$J,4,),"")</f>
        <v>DEMOLICAO DE PASSEIO EM PEDRA PORTUGUESA</v>
      </c>
      <c r="E52" s="91" t="str">
        <f>IFERROR(VLOOKUP($A52,[2]P.O.!$A:$J,5,),"")</f>
        <v>M2</v>
      </c>
      <c r="F52" s="139">
        <f>IFERROR(VLOOKUP($A52,[2]P.O.!$A:$J,6,),"")</f>
        <v>132.1</v>
      </c>
      <c r="G52" s="158">
        <f>IFERROR(VLOOKUP($A52,[2]P.O.!$A:$J,7,),"")</f>
        <v>4.5999999999999996</v>
      </c>
      <c r="H52" s="158">
        <f>IFERROR(VLOOKUP($A52,[2]P.O.!$A:$J,8,),"")</f>
        <v>5.75</v>
      </c>
      <c r="I52" s="158">
        <f>IFERROR(VLOOKUP($A52,[2]P.O.!$A:$J,9,),"")</f>
        <v>759.58</v>
      </c>
      <c r="J52" s="159">
        <f t="shared" si="2"/>
        <v>3.5742141010995058E-4</v>
      </c>
      <c r="K52" s="145">
        <f>IFERROR(VLOOKUP($A52,[2]P.O.!$A:$J,10,),"")</f>
        <v>0.25</v>
      </c>
      <c r="L52" s="265"/>
    </row>
    <row r="53" spans="1:12" s="232" customFormat="1">
      <c r="A53" s="76"/>
      <c r="B53" s="91"/>
      <c r="C53" s="91"/>
      <c r="D53" s="78"/>
      <c r="E53" s="91"/>
      <c r="F53" s="139"/>
      <c r="G53" s="158"/>
      <c r="H53" s="158"/>
      <c r="I53" s="158"/>
      <c r="J53" s="159"/>
      <c r="K53" s="141"/>
    </row>
    <row r="54" spans="1:12" s="235" customFormat="1">
      <c r="A54" s="95" t="s">
        <v>193</v>
      </c>
      <c r="B54" s="96"/>
      <c r="C54" s="96"/>
      <c r="D54" s="97" t="str">
        <f>IFERROR(VLOOKUP($A54,[2]P.O.!$A:$J,4,),"")</f>
        <v>PAREDE</v>
      </c>
      <c r="E54" s="96"/>
      <c r="F54" s="163"/>
      <c r="G54" s="164"/>
      <c r="H54" s="164"/>
      <c r="I54" s="164"/>
      <c r="J54" s="165"/>
      <c r="K54" s="181"/>
    </row>
    <row r="55" spans="1:12" s="232" customFormat="1">
      <c r="A55" s="76" t="s">
        <v>194</v>
      </c>
      <c r="B55" s="91">
        <f>IFERROR(VLOOKUP($A55,[2]P.O.!$A:$J,2,),"")</f>
        <v>72223</v>
      </c>
      <c r="C55" s="91" t="str">
        <f>IFERROR(VLOOKUP($A55,[2]P.O.!$A:$J,3,),"")</f>
        <v>SINAPI SERVIÇO</v>
      </c>
      <c r="D55" s="78" t="str">
        <f>IFERROR(VLOOKUP($A55,[2]P.O.!$A:$J,4,),"")</f>
        <v>RETIRADAS DE DIVISORIAS EM CHAPAS OU TABUAS, COM RETIRADA DO ENTARUGAM   ENTO</v>
      </c>
      <c r="E55" s="91" t="str">
        <f>IFERROR(VLOOKUP($A55,[2]P.O.!$A:$J,5,),"")</f>
        <v>M2</v>
      </c>
      <c r="F55" s="139">
        <f>IFERROR(VLOOKUP($A55,[2]P.O.!$A:$J,6,),"")</f>
        <v>137.44</v>
      </c>
      <c r="G55" s="158">
        <f>IFERROR(VLOOKUP($A55,[2]P.O.!$A:$J,7,),"")</f>
        <v>11.75</v>
      </c>
      <c r="H55" s="158">
        <f>IFERROR(VLOOKUP($A55,[2]P.O.!$A:$J,8,),"")</f>
        <v>14.69</v>
      </c>
      <c r="I55" s="158">
        <f>IFERROR(VLOOKUP($A55,[2]P.O.!$A:$J,9,),"")</f>
        <v>2018.99</v>
      </c>
      <c r="J55" s="159">
        <f t="shared" ref="J55:J56" si="3">IF(I55="","",I55/$E$777)</f>
        <v>9.5003851180637858E-4</v>
      </c>
      <c r="K55" s="145">
        <f>IFERROR(VLOOKUP($A55,[2]P.O.!$A:$J,10,),"")</f>
        <v>0.25</v>
      </c>
      <c r="L55" s="265"/>
    </row>
    <row r="56" spans="1:12" s="232" customFormat="1">
      <c r="A56" s="76" t="s">
        <v>195</v>
      </c>
      <c r="B56" s="91">
        <f>IFERROR(VLOOKUP($A56,[2]P.O.!$A:$J,2,),"")</f>
        <v>72215</v>
      </c>
      <c r="C56" s="91" t="str">
        <f>IFERROR(VLOOKUP($A56,[2]P.O.!$A:$J,3,),"")</f>
        <v>SINAPI SERVIÇO</v>
      </c>
      <c r="D56" s="78" t="str">
        <f>IFERROR(VLOOKUP($A56,[2]P.O.!$A:$J,4,),"")</f>
        <v>DEMOLICAO DE ALVENARIA DE ELEMENTOS CERAMICOS VAZADOS</v>
      </c>
      <c r="E56" s="91" t="str">
        <f>IFERROR(VLOOKUP($A56,[2]P.O.!$A:$J,5,),"")</f>
        <v>M3</v>
      </c>
      <c r="F56" s="139">
        <f>IFERROR(VLOOKUP($A56,[2]P.O.!$A:$J,6,),"")</f>
        <v>86.35</v>
      </c>
      <c r="G56" s="158">
        <f>IFERROR(VLOOKUP($A56,[2]P.O.!$A:$J,7,),"")</f>
        <v>30.65</v>
      </c>
      <c r="H56" s="158">
        <f>IFERROR(VLOOKUP($A56,[2]P.O.!$A:$J,8,),"")</f>
        <v>38.31</v>
      </c>
      <c r="I56" s="158">
        <f>IFERROR(VLOOKUP($A56,[2]P.O.!$A:$J,9,),"")</f>
        <v>3308.07</v>
      </c>
      <c r="J56" s="159">
        <f t="shared" si="3"/>
        <v>1.5566168726696651E-3</v>
      </c>
      <c r="K56" s="145">
        <f>IFERROR(VLOOKUP($A56,[2]P.O.!$A:$J,10,),"")</f>
        <v>0.25</v>
      </c>
      <c r="L56" s="265"/>
    </row>
    <row r="57" spans="1:12" s="232" customFormat="1">
      <c r="A57" s="76"/>
      <c r="B57" s="91"/>
      <c r="C57" s="91"/>
      <c r="D57" s="78"/>
      <c r="E57" s="91"/>
      <c r="F57" s="139"/>
      <c r="G57" s="158"/>
      <c r="H57" s="158"/>
      <c r="I57" s="158"/>
      <c r="J57" s="159"/>
      <c r="K57" s="141"/>
    </row>
    <row r="58" spans="1:12" s="235" customFormat="1">
      <c r="A58" s="95" t="s">
        <v>196</v>
      </c>
      <c r="B58" s="96"/>
      <c r="C58" s="96"/>
      <c r="D58" s="97" t="str">
        <f>IFERROR(VLOOKUP($A58,[2]P.O.!$A:$J,4,),"")</f>
        <v>TETO</v>
      </c>
      <c r="E58" s="96"/>
      <c r="F58" s="163"/>
      <c r="G58" s="164"/>
      <c r="H58" s="164"/>
      <c r="I58" s="164"/>
      <c r="J58" s="165"/>
      <c r="K58" s="181"/>
    </row>
    <row r="59" spans="1:12" s="232" customFormat="1">
      <c r="A59" s="76" t="s">
        <v>197</v>
      </c>
      <c r="B59" s="91">
        <f>IFERROR(VLOOKUP($A59,[2]P.O.!$A:$J,2,),"")</f>
        <v>72231</v>
      </c>
      <c r="C59" s="91" t="str">
        <f>IFERROR(VLOOKUP($A59,[2]P.O.!$A:$J,3,),"")</f>
        <v>SINAPI SERVIÇO</v>
      </c>
      <c r="D59" s="78" t="str">
        <f>IFERROR(VLOOKUP($A59,[2]P.O.!$A:$J,4,),"")</f>
        <v>RETIRADA DE TELHAS ONDULADAS</v>
      </c>
      <c r="E59" s="91" t="str">
        <f>IFERROR(VLOOKUP($A59,[2]P.O.!$A:$J,5,),"")</f>
        <v>M2</v>
      </c>
      <c r="F59" s="139">
        <f>IFERROR(VLOOKUP($A59,[2]P.O.!$A:$J,6,),"")</f>
        <v>226.05</v>
      </c>
      <c r="G59" s="158">
        <f>IFERROR(VLOOKUP($A59,[2]P.O.!$A:$J,7,),"")</f>
        <v>4.29</v>
      </c>
      <c r="H59" s="158">
        <f>IFERROR(VLOOKUP($A59,[2]P.O.!$A:$J,8,),"")</f>
        <v>5.36</v>
      </c>
      <c r="I59" s="158">
        <f>IFERROR(VLOOKUP($A59,[2]P.O.!$A:$J,9,),"")</f>
        <v>1211.6300000000001</v>
      </c>
      <c r="J59" s="159">
        <f t="shared" ref="J59:J61" si="4">IF(I59="","",I59/$E$777)</f>
        <v>5.7013415720729799E-4</v>
      </c>
      <c r="K59" s="145">
        <f>IFERROR(VLOOKUP($A59,[2]P.O.!$A:$J,10,),"")</f>
        <v>0.25</v>
      </c>
      <c r="L59" s="265"/>
    </row>
    <row r="60" spans="1:12" s="232" customFormat="1">
      <c r="A60" s="76" t="s">
        <v>198</v>
      </c>
      <c r="B60" s="91">
        <f>IFERROR(VLOOKUP($A60,[2]P.O.!$A:$J,2,),"")</f>
        <v>72238</v>
      </c>
      <c r="C60" s="91" t="str">
        <f>IFERROR(VLOOKUP($A60,[2]P.O.!$A:$J,3,),"")</f>
        <v>SINAPI SERVIÇO</v>
      </c>
      <c r="D60" s="78" t="str">
        <f>IFERROR(VLOOKUP($A60,[2]P.O.!$A:$J,4,),"")</f>
        <v>RETIRADA DE FORRO EM REGUAS DE PVC, INCLUSIVE RETIRADA DE PERFIS</v>
      </c>
      <c r="E60" s="91" t="str">
        <f>IFERROR(VLOOKUP($A60,[2]P.O.!$A:$J,5,),"")</f>
        <v>M2</v>
      </c>
      <c r="F60" s="139">
        <f>IFERROR(VLOOKUP($A60,[2]P.O.!$A:$J,6,),"")</f>
        <v>171.3</v>
      </c>
      <c r="G60" s="158">
        <f>IFERROR(VLOOKUP($A60,[2]P.O.!$A:$J,7,),"")</f>
        <v>5.39</v>
      </c>
      <c r="H60" s="158">
        <f>IFERROR(VLOOKUP($A60,[2]P.O.!$A:$J,8,),"")</f>
        <v>6.74</v>
      </c>
      <c r="I60" s="158">
        <f>IFERROR(VLOOKUP($A60,[2]P.O.!$A:$J,9,),"")</f>
        <v>1154.56</v>
      </c>
      <c r="J60" s="159">
        <f t="shared" si="4"/>
        <v>5.4327979048493177E-4</v>
      </c>
      <c r="K60" s="145">
        <f>IFERROR(VLOOKUP($A60,[2]P.O.!$A:$J,10,),"")</f>
        <v>0.25</v>
      </c>
      <c r="L60" s="265"/>
    </row>
    <row r="61" spans="1:12" s="232" customFormat="1">
      <c r="A61" s="76" t="s">
        <v>199</v>
      </c>
      <c r="B61" s="91">
        <f>IFERROR(VLOOKUP($A61,[2]P.O.!$A:$J,2,),"")</f>
        <v>85372</v>
      </c>
      <c r="C61" s="91" t="str">
        <f>IFERROR(VLOOKUP($A61,[2]P.O.!$A:$J,3,),"")</f>
        <v>SINAPI SERVIÇO</v>
      </c>
      <c r="D61" s="78" t="str">
        <f>IFERROR(VLOOKUP($A61,[2]P.O.!$A:$J,4,),"")</f>
        <v>DEMOLICAO DE FORRO DE GESSO</v>
      </c>
      <c r="E61" s="91" t="str">
        <f>IFERROR(VLOOKUP($A61,[2]P.O.!$A:$J,5,),"")</f>
        <v>M2</v>
      </c>
      <c r="F61" s="139">
        <f>IFERROR(VLOOKUP($A61,[2]P.O.!$A:$J,6,),"")</f>
        <v>129.51</v>
      </c>
      <c r="G61" s="158">
        <f>IFERROR(VLOOKUP($A61,[2]P.O.!$A:$J,7,),"")</f>
        <v>1.83</v>
      </c>
      <c r="H61" s="158">
        <f>IFERROR(VLOOKUP($A61,[2]P.O.!$A:$J,8,),"")</f>
        <v>2.29</v>
      </c>
      <c r="I61" s="158">
        <f>IFERROR(VLOOKUP($A61,[2]P.O.!$A:$J,9,),"")</f>
        <v>296.58</v>
      </c>
      <c r="J61" s="159">
        <f t="shared" si="4"/>
        <v>1.3955612550410639E-4</v>
      </c>
      <c r="K61" s="145">
        <f>IFERROR(VLOOKUP($A61,[2]P.O.!$A:$J,10,),"")</f>
        <v>0.25</v>
      </c>
      <c r="L61" s="265"/>
    </row>
    <row r="62" spans="1:12" s="232" customFormat="1">
      <c r="A62" s="76"/>
      <c r="B62" s="91"/>
      <c r="C62" s="91"/>
      <c r="D62" s="78"/>
      <c r="E62" s="91"/>
      <c r="F62" s="139"/>
      <c r="G62" s="158"/>
      <c r="H62" s="158"/>
      <c r="I62" s="158"/>
      <c r="J62" s="159"/>
      <c r="K62" s="141"/>
    </row>
    <row r="63" spans="1:12" s="235" customFormat="1">
      <c r="A63" s="95" t="s">
        <v>200</v>
      </c>
      <c r="B63" s="96"/>
      <c r="C63" s="96"/>
      <c r="D63" s="97" t="str">
        <f>IFERROR(VLOOKUP($A63,[2]P.O.!$A:$J,4,),"")</f>
        <v>LOUÇAS SANITÁRIAS</v>
      </c>
      <c r="E63" s="96"/>
      <c r="F63" s="163"/>
      <c r="G63" s="164"/>
      <c r="H63" s="164"/>
      <c r="I63" s="164"/>
      <c r="J63" s="165"/>
      <c r="K63" s="181"/>
    </row>
    <row r="64" spans="1:12" s="232" customFormat="1">
      <c r="A64" s="76" t="s">
        <v>201</v>
      </c>
      <c r="B64" s="91">
        <f>IFERROR(VLOOKUP($A64,[2]P.O.!$A:$J,2,),"")</f>
        <v>85333</v>
      </c>
      <c r="C64" s="91" t="str">
        <f>IFERROR(VLOOKUP($A64,[2]P.O.!$A:$J,3,),"")</f>
        <v>SINAPI SERVIÇO</v>
      </c>
      <c r="D64" s="78" t="str">
        <f>IFERROR(VLOOKUP($A64,[2]P.O.!$A:$J,4,),"")</f>
        <v>RETIRADA DE APARELHOS SANITARIOS</v>
      </c>
      <c r="E64" s="91" t="str">
        <f>IFERROR(VLOOKUP($A64,[2]P.O.!$A:$J,5,),"")</f>
        <v>UN</v>
      </c>
      <c r="F64" s="139">
        <f>IFERROR(VLOOKUP($A64,[2]P.O.!$A:$J,6,),"")</f>
        <v>7</v>
      </c>
      <c r="G64" s="158">
        <f>IFERROR(VLOOKUP($A64,[2]P.O.!$A:$J,7,),"")</f>
        <v>13.55</v>
      </c>
      <c r="H64" s="158">
        <f>IFERROR(VLOOKUP($A64,[2]P.O.!$A:$J,8,),"")</f>
        <v>16.940000000000001</v>
      </c>
      <c r="I64" s="158">
        <f>IFERROR(VLOOKUP($A64,[2]P.O.!$A:$J,9,),"")</f>
        <v>118.58</v>
      </c>
      <c r="J64" s="159">
        <f t="shared" ref="J64:J65" si="5">IF(I64="","",I64/$E$777)</f>
        <v>5.5797981530369326E-5</v>
      </c>
      <c r="K64" s="145">
        <f>IFERROR(VLOOKUP($A64,[2]P.O.!$A:$J,10,),"")</f>
        <v>0.25</v>
      </c>
      <c r="L64" s="265"/>
    </row>
    <row r="65" spans="1:12" s="232" customFormat="1">
      <c r="A65" s="76" t="s">
        <v>202</v>
      </c>
      <c r="B65" s="91">
        <f>IFERROR(VLOOKUP($A65,[2]P.O.!$A:$J,2,),"")</f>
        <v>85333</v>
      </c>
      <c r="C65" s="91" t="str">
        <f>IFERROR(VLOOKUP($A65,[2]P.O.!$A:$J,3,),"")</f>
        <v>SINAPI SERVIÇO</v>
      </c>
      <c r="D65" s="78" t="str">
        <f>IFERROR(VLOOKUP($A65,[2]P.O.!$A:$J,4,),"")</f>
        <v>RETIRADA DE APARELHOS SANITARIOS</v>
      </c>
      <c r="E65" s="91" t="str">
        <f>IFERROR(VLOOKUP($A65,[2]P.O.!$A:$J,5,),"")</f>
        <v>UN</v>
      </c>
      <c r="F65" s="139">
        <f>IFERROR(VLOOKUP($A65,[2]P.O.!$A:$J,6,),"")</f>
        <v>8</v>
      </c>
      <c r="G65" s="158">
        <f>IFERROR(VLOOKUP($A65,[2]P.O.!$A:$J,7,),"")</f>
        <v>13.55</v>
      </c>
      <c r="H65" s="158">
        <f>IFERROR(VLOOKUP($A65,[2]P.O.!$A:$J,8,),"")</f>
        <v>16.940000000000001</v>
      </c>
      <c r="I65" s="158">
        <f>IFERROR(VLOOKUP($A65,[2]P.O.!$A:$J,9,),"")</f>
        <v>135.52000000000001</v>
      </c>
      <c r="J65" s="159">
        <f t="shared" si="5"/>
        <v>6.3769121748993529E-5</v>
      </c>
      <c r="K65" s="145">
        <f>IFERROR(VLOOKUP($A65,[2]P.O.!$A:$J,10,),"")</f>
        <v>0.25</v>
      </c>
      <c r="L65" s="265"/>
    </row>
    <row r="66" spans="1:12" s="232" customFormat="1">
      <c r="A66" s="76"/>
      <c r="B66" s="91"/>
      <c r="C66" s="91"/>
      <c r="D66" s="78"/>
      <c r="E66" s="91"/>
      <c r="F66" s="139"/>
      <c r="G66" s="158"/>
      <c r="H66" s="158"/>
      <c r="I66" s="158"/>
      <c r="J66" s="159"/>
      <c r="K66" s="141"/>
    </row>
    <row r="67" spans="1:12" s="235" customFormat="1">
      <c r="A67" s="95" t="s">
        <v>203</v>
      </c>
      <c r="B67" s="96"/>
      <c r="C67" s="96"/>
      <c r="D67" s="97" t="str">
        <f>IFERROR(VLOOKUP($A67,[2]P.O.!$A:$J,4,),"")</f>
        <v>METAIS SANITÁRIOS</v>
      </c>
      <c r="E67" s="96"/>
      <c r="F67" s="163"/>
      <c r="G67" s="164"/>
      <c r="H67" s="164"/>
      <c r="I67" s="164"/>
      <c r="J67" s="165"/>
      <c r="K67" s="181"/>
    </row>
    <row r="68" spans="1:12" s="232" customFormat="1">
      <c r="A68" s="76" t="s">
        <v>204</v>
      </c>
      <c r="B68" s="91" t="str">
        <f>IFERROR(VLOOKUP($A68,[2]P.O.!$A:$J,2,),"")</f>
        <v>COMPS3063</v>
      </c>
      <c r="C68" s="91" t="str">
        <f>IFERROR(VLOOKUP($A68,[2]P.O.!$A:$J,3,),"")</f>
        <v>COMPOSIÇÃO</v>
      </c>
      <c r="D68" s="78" t="str">
        <f>IFERROR(VLOOKUP($A68,[2]P.O.!$A:$J,4,),"")</f>
        <v>RETIRADA DE BANCADA EM GRANITO/AÇO INOX</v>
      </c>
      <c r="E68" s="91" t="str">
        <f>IFERROR(VLOOKUP($A68,[2]P.O.!$A:$J,5,),"")</f>
        <v>M</v>
      </c>
      <c r="F68" s="139">
        <f>IFERROR(VLOOKUP($A68,[2]P.O.!$A:$J,6,),"")</f>
        <v>1.6</v>
      </c>
      <c r="G68" s="158">
        <f>IFERROR(VLOOKUP($A68,[2]P.O.!$A:$J,7,),"")</f>
        <v>5.64</v>
      </c>
      <c r="H68" s="158">
        <f>IFERROR(VLOOKUP($A68,[2]P.O.!$A:$J,8,),"")</f>
        <v>7.05</v>
      </c>
      <c r="I68" s="158">
        <f>IFERROR(VLOOKUP($A68,[2]P.O.!$A:$J,9,),"")</f>
        <v>11.28</v>
      </c>
      <c r="J68" s="159">
        <f t="shared" ref="J68:J69" si="6">IF(I68="","",I68/$E$777)</f>
        <v>5.3078194608076071E-6</v>
      </c>
      <c r="K68" s="145">
        <f>IFERROR(VLOOKUP($A68,[2]P.O.!$A:$J,10,),"")</f>
        <v>0.25</v>
      </c>
      <c r="L68" s="265"/>
    </row>
    <row r="69" spans="1:12" s="232" customFormat="1">
      <c r="A69" s="76" t="s">
        <v>205</v>
      </c>
      <c r="B69" s="91" t="str">
        <f>IFERROR(VLOOKUP($A69,[2]P.O.!$A:$J,2,),"")</f>
        <v>COMPS3064</v>
      </c>
      <c r="C69" s="91" t="str">
        <f>IFERROR(VLOOKUP($A69,[2]P.O.!$A:$J,3,),"")</f>
        <v>COMPOSIÇÃO</v>
      </c>
      <c r="D69" s="78" t="str">
        <f>IFERROR(VLOOKUP($A69,[2]P.O.!$A:$J,4,),"")</f>
        <v>RETIRADA DE PIA E/OU TANQUE</v>
      </c>
      <c r="E69" s="91" t="str">
        <f>IFERROR(VLOOKUP($A69,[2]P.O.!$A:$J,5,),"")</f>
        <v>UND</v>
      </c>
      <c r="F69" s="139">
        <f>IFERROR(VLOOKUP($A69,[2]P.O.!$A:$J,6,),"")</f>
        <v>1</v>
      </c>
      <c r="G69" s="158">
        <f>IFERROR(VLOOKUP($A69,[2]P.O.!$A:$J,7,),"")</f>
        <v>7.870000000000001</v>
      </c>
      <c r="H69" s="158">
        <f>IFERROR(VLOOKUP($A69,[2]P.O.!$A:$J,8,),"")</f>
        <v>9.84</v>
      </c>
      <c r="I69" s="158">
        <f>IFERROR(VLOOKUP($A69,[2]P.O.!$A:$J,9,),"")</f>
        <v>9.84</v>
      </c>
      <c r="J69" s="159">
        <f t="shared" si="6"/>
        <v>4.6302254870874866E-6</v>
      </c>
      <c r="K69" s="145">
        <f>IFERROR(VLOOKUP($A69,[2]P.O.!$A:$J,10,),"")</f>
        <v>0.25</v>
      </c>
      <c r="L69" s="265"/>
    </row>
    <row r="70" spans="1:12" s="232" customFormat="1">
      <c r="A70" s="76"/>
      <c r="B70" s="91"/>
      <c r="C70" s="91"/>
      <c r="D70" s="78"/>
      <c r="E70" s="91"/>
      <c r="F70" s="139"/>
      <c r="G70" s="158"/>
      <c r="H70" s="158"/>
      <c r="I70" s="158"/>
      <c r="J70" s="159"/>
      <c r="K70" s="141"/>
    </row>
    <row r="71" spans="1:12" s="235" customFormat="1">
      <c r="A71" s="95" t="s">
        <v>206</v>
      </c>
      <c r="B71" s="96"/>
      <c r="C71" s="96"/>
      <c r="D71" s="97" t="str">
        <f>IFERROR(VLOOKUP($A71,[2]P.O.!$A:$J,4,),"")</f>
        <v>CORRIMÃO</v>
      </c>
      <c r="E71" s="96"/>
      <c r="F71" s="163"/>
      <c r="G71" s="164"/>
      <c r="H71" s="164"/>
      <c r="I71" s="164"/>
      <c r="J71" s="165"/>
      <c r="K71" s="181"/>
    </row>
    <row r="72" spans="1:12" s="232" customFormat="1">
      <c r="A72" s="76" t="s">
        <v>207</v>
      </c>
      <c r="B72" s="91" t="str">
        <f>IFERROR(VLOOKUP($A72,[2]P.O.!$A:$J,2,),"")</f>
        <v>COMPS3065</v>
      </c>
      <c r="C72" s="91" t="str">
        <f>IFERROR(VLOOKUP($A72,[2]P.O.!$A:$J,3,),"")</f>
        <v>COMPOSIÇÃO</v>
      </c>
      <c r="D72" s="78" t="str">
        <f>IFERROR(VLOOKUP($A72,[2]P.O.!$A:$J,4,),"")</f>
        <v>RETIRADA DE CORRIMÃO EM TUBO DE FERRO 1.3/4"</v>
      </c>
      <c r="E72" s="91" t="str">
        <f>IFERROR(VLOOKUP($A72,[2]P.O.!$A:$J,5,),"")</f>
        <v>M</v>
      </c>
      <c r="F72" s="139">
        <f>IFERROR(VLOOKUP($A72,[2]P.O.!$A:$J,6,),"")</f>
        <v>4.67</v>
      </c>
      <c r="G72" s="158">
        <f>IFERROR(VLOOKUP($A72,[2]P.O.!$A:$J,7,),"")</f>
        <v>23</v>
      </c>
      <c r="H72" s="158">
        <f>IFERROR(VLOOKUP($A72,[2]P.O.!$A:$J,8,),"")</f>
        <v>28.75</v>
      </c>
      <c r="I72" s="158">
        <f>IFERROR(VLOOKUP($A72,[2]P.O.!$A:$J,9,),"")</f>
        <v>134.26</v>
      </c>
      <c r="J72" s="159">
        <f t="shared" ref="J72" si="7">IF(I72="","",I72/$E$777)</f>
        <v>6.3176227021988413E-5</v>
      </c>
      <c r="K72" s="145">
        <f>IFERROR(VLOOKUP($A72,[2]P.O.!$A:$J,10,),"")</f>
        <v>0.25</v>
      </c>
      <c r="L72" s="265"/>
    </row>
    <row r="73" spans="1:12" s="232" customFormat="1">
      <c r="A73" s="76"/>
      <c r="B73" s="91"/>
      <c r="C73" s="91"/>
      <c r="D73" s="78"/>
      <c r="E73" s="91"/>
      <c r="F73" s="139"/>
      <c r="G73" s="158"/>
      <c r="H73" s="158"/>
      <c r="I73" s="158"/>
      <c r="J73" s="159"/>
      <c r="K73" s="141"/>
    </row>
    <row r="74" spans="1:12" s="235" customFormat="1">
      <c r="A74" s="95" t="s">
        <v>208</v>
      </c>
      <c r="B74" s="96"/>
      <c r="C74" s="96"/>
      <c r="D74" s="97" t="str">
        <f>IFERROR(VLOOKUP($A74,[2]P.O.!$A:$J,4,),"")</f>
        <v>ESQUADRIAS</v>
      </c>
      <c r="E74" s="96"/>
      <c r="F74" s="163"/>
      <c r="G74" s="164"/>
      <c r="H74" s="164"/>
      <c r="I74" s="164"/>
      <c r="J74" s="165"/>
      <c r="K74" s="181"/>
    </row>
    <row r="75" spans="1:12" s="232" customFormat="1">
      <c r="A75" s="76" t="s">
        <v>209</v>
      </c>
      <c r="B75" s="91">
        <f>IFERROR(VLOOKUP($A75,[2]P.O.!$A:$J,2,),"")</f>
        <v>72142</v>
      </c>
      <c r="C75" s="91" t="str">
        <f>IFERROR(VLOOKUP($A75,[2]P.O.!$A:$J,3,),"")</f>
        <v>SINAPI SERVIÇO</v>
      </c>
      <c r="D75" s="78" t="str">
        <f>IFERROR(VLOOKUP($A75,[2]P.O.!$A:$J,4,),"")</f>
        <v>RETIRADA DE FOLHAS DE PORTA DE PASSAGEM OU JANELA</v>
      </c>
      <c r="E75" s="91" t="str">
        <f>IFERROR(VLOOKUP($A75,[2]P.O.!$A:$J,5,),"")</f>
        <v>UN</v>
      </c>
      <c r="F75" s="139">
        <f>IFERROR(VLOOKUP($A75,[2]P.O.!$A:$J,6,),"")</f>
        <v>32</v>
      </c>
      <c r="G75" s="158">
        <f>IFERROR(VLOOKUP($A75,[2]P.O.!$A:$J,7,),"")</f>
        <v>7.34</v>
      </c>
      <c r="H75" s="158">
        <f>IFERROR(VLOOKUP($A75,[2]P.O.!$A:$J,8,),"")</f>
        <v>9.18</v>
      </c>
      <c r="I75" s="158">
        <f>IFERROR(VLOOKUP($A75,[2]P.O.!$A:$J,9,),"")</f>
        <v>293.76</v>
      </c>
      <c r="J75" s="159">
        <f t="shared" ref="J75:J78" si="8">IF(I75="","",I75/$E$777)</f>
        <v>1.3822917063890448E-4</v>
      </c>
      <c r="K75" s="145">
        <f>IFERROR(VLOOKUP($A75,[2]P.O.!$A:$J,10,),"")</f>
        <v>0.25</v>
      </c>
      <c r="L75" s="265"/>
    </row>
    <row r="76" spans="1:12" s="232" customFormat="1">
      <c r="A76" s="76" t="s">
        <v>210</v>
      </c>
      <c r="B76" s="91">
        <f>IFERROR(VLOOKUP($A76,[2]P.O.!$A:$J,2,),"")</f>
        <v>72143</v>
      </c>
      <c r="C76" s="91" t="str">
        <f>IFERROR(VLOOKUP($A76,[2]P.O.!$A:$J,3,),"")</f>
        <v>SINAPI SERVIÇO</v>
      </c>
      <c r="D76" s="78" t="str">
        <f>IFERROR(VLOOKUP($A76,[2]P.O.!$A:$J,4,),"")</f>
        <v>RETIRADA DE BATENTES DE MADEIRA</v>
      </c>
      <c r="E76" s="91" t="str">
        <f>IFERROR(VLOOKUP($A76,[2]P.O.!$A:$J,5,),"")</f>
        <v>UN</v>
      </c>
      <c r="F76" s="139">
        <f>IFERROR(VLOOKUP($A76,[2]P.O.!$A:$J,6,),"")</f>
        <v>32</v>
      </c>
      <c r="G76" s="158">
        <f>IFERROR(VLOOKUP($A76,[2]P.O.!$A:$J,7,),"")</f>
        <v>35.44</v>
      </c>
      <c r="H76" s="158">
        <f>IFERROR(VLOOKUP($A76,[2]P.O.!$A:$J,8,),"")</f>
        <v>44.3</v>
      </c>
      <c r="I76" s="158">
        <f>IFERROR(VLOOKUP($A76,[2]P.O.!$A:$J,9,),"")</f>
        <v>1417.6</v>
      </c>
      <c r="J76" s="159">
        <f t="shared" si="8"/>
        <v>6.6705362301780697E-4</v>
      </c>
      <c r="K76" s="145">
        <f>IFERROR(VLOOKUP($A76,[2]P.O.!$A:$J,10,),"")</f>
        <v>0.25</v>
      </c>
      <c r="L76" s="265"/>
    </row>
    <row r="77" spans="1:12" s="232" customFormat="1">
      <c r="A77" s="76" t="s">
        <v>211</v>
      </c>
      <c r="B77" s="91" t="str">
        <f>IFERROR(VLOOKUP($A77,[2]P.O.!$A:$J,2,),"")</f>
        <v>COMPS3066</v>
      </c>
      <c r="C77" s="91" t="str">
        <f>IFERROR(VLOOKUP($A77,[2]P.O.!$A:$J,3,),"")</f>
        <v>COMPOSIÇÃO</v>
      </c>
      <c r="D77" s="78" t="str">
        <f>IFERROR(VLOOKUP($A77,[2]P.O.!$A:$J,4,),"")</f>
        <v>RETIRADA DE GRADE DE FERRO</v>
      </c>
      <c r="E77" s="91" t="str">
        <f>IFERROR(VLOOKUP($A77,[2]P.O.!$A:$J,5,),"")</f>
        <v>M2</v>
      </c>
      <c r="F77" s="139">
        <f>IFERROR(VLOOKUP($A77,[2]P.O.!$A:$J,6,),"")</f>
        <v>6.42</v>
      </c>
      <c r="G77" s="158">
        <f>IFERROR(VLOOKUP($A77,[2]P.O.!$A:$J,7,),"")</f>
        <v>5.42</v>
      </c>
      <c r="H77" s="158">
        <f>IFERROR(VLOOKUP($A77,[2]P.O.!$A:$J,8,),"")</f>
        <v>6.78</v>
      </c>
      <c r="I77" s="158">
        <f>IFERROR(VLOOKUP($A77,[2]P.O.!$A:$J,9,),"")</f>
        <v>43.53</v>
      </c>
      <c r="J77" s="159">
        <f t="shared" si="8"/>
        <v>2.0483101163914462E-5</v>
      </c>
      <c r="K77" s="145">
        <f>IFERROR(VLOOKUP($A77,[2]P.O.!$A:$J,10,),"")</f>
        <v>0.25</v>
      </c>
      <c r="L77" s="265"/>
    </row>
    <row r="78" spans="1:12" s="232" customFormat="1">
      <c r="A78" s="76" t="s">
        <v>212</v>
      </c>
      <c r="B78" s="91" t="str">
        <f>IFERROR(VLOOKUP($A78,[2]P.O.!$A:$J,2,),"")</f>
        <v>COMPS3067</v>
      </c>
      <c r="C78" s="91" t="str">
        <f>IFERROR(VLOOKUP($A78,[2]P.O.!$A:$J,3,),"")</f>
        <v>COMPOSIÇÃO</v>
      </c>
      <c r="D78" s="78" t="str">
        <f>IFERROR(VLOOKUP($A78,[2]P.O.!$A:$J,4,),"")</f>
        <v>RETIRADA DE GRADIL DE FERRO</v>
      </c>
      <c r="E78" s="91" t="str">
        <f>IFERROR(VLOOKUP($A78,[2]P.O.!$A:$J,5,),"")</f>
        <v>M2</v>
      </c>
      <c r="F78" s="139">
        <f>IFERROR(VLOOKUP($A78,[2]P.O.!$A:$J,6,),"")</f>
        <v>29.48</v>
      </c>
      <c r="G78" s="158">
        <f>IFERROR(VLOOKUP($A78,[2]P.O.!$A:$J,7,),"")</f>
        <v>6.13</v>
      </c>
      <c r="H78" s="158">
        <f>IFERROR(VLOOKUP($A78,[2]P.O.!$A:$J,8,),"")</f>
        <v>7.66</v>
      </c>
      <c r="I78" s="158">
        <f>IFERROR(VLOOKUP($A78,[2]P.O.!$A:$J,9,),"")</f>
        <v>225.82</v>
      </c>
      <c r="J78" s="159">
        <f t="shared" si="8"/>
        <v>1.0625991051769271E-4</v>
      </c>
      <c r="K78" s="145">
        <f>IFERROR(VLOOKUP($A78,[2]P.O.!$A:$J,10,),"")</f>
        <v>0.25</v>
      </c>
      <c r="L78" s="265"/>
    </row>
    <row r="79" spans="1:12" s="232" customFormat="1">
      <c r="A79" s="76"/>
      <c r="B79" s="91"/>
      <c r="C79" s="91"/>
      <c r="D79" s="78"/>
      <c r="E79" s="91"/>
      <c r="F79" s="139"/>
      <c r="G79" s="158"/>
      <c r="H79" s="158"/>
      <c r="I79" s="158"/>
      <c r="J79" s="159"/>
      <c r="K79" s="141"/>
    </row>
    <row r="80" spans="1:12" s="235" customFormat="1">
      <c r="A80" s="95" t="s">
        <v>213</v>
      </c>
      <c r="B80" s="96"/>
      <c r="C80" s="96"/>
      <c r="D80" s="97" t="str">
        <f>IFERROR(VLOOKUP($A80,[2]P.O.!$A:$J,4,),"")</f>
        <v>ESCADAS</v>
      </c>
      <c r="E80" s="96"/>
      <c r="F80" s="163"/>
      <c r="G80" s="164"/>
      <c r="H80" s="164"/>
      <c r="I80" s="164"/>
      <c r="J80" s="165"/>
      <c r="K80" s="181"/>
    </row>
    <row r="81" spans="1:12" s="232" customFormat="1">
      <c r="A81" s="76" t="s">
        <v>214</v>
      </c>
      <c r="B81" s="91" t="str">
        <f>IFERROR(VLOOKUP($A81,[2]P.O.!$A:$J,2,),"")</f>
        <v>COMPS3086</v>
      </c>
      <c r="C81" s="91" t="str">
        <f>IFERROR(VLOOKUP($A81,[2]P.O.!$A:$J,3,),"")</f>
        <v>COMPOSIÇÃO</v>
      </c>
      <c r="D81" s="78" t="str">
        <f>IFERROR(VLOOKUP($A81,[2]P.O.!$A:$J,4,),"")</f>
        <v>DEMOLIÇÃO DE ESCADA DE ALVENARIA</v>
      </c>
      <c r="E81" s="91" t="str">
        <f>IFERROR(VLOOKUP($A81,[2]P.O.!$A:$J,5,),"")</f>
        <v>M3</v>
      </c>
      <c r="F81" s="139">
        <f>IFERROR(VLOOKUP($A81,[2]P.O.!$A:$J,6,),"")</f>
        <v>9.65</v>
      </c>
      <c r="G81" s="158">
        <f>IFERROR(VLOOKUP($A81,[2]P.O.!$A:$J,7,),"")</f>
        <v>30.65</v>
      </c>
      <c r="H81" s="158">
        <f>IFERROR(VLOOKUP($A81,[2]P.O.!$A:$J,8,),"")</f>
        <v>38.31</v>
      </c>
      <c r="I81" s="158">
        <f>IFERROR(VLOOKUP($A81,[2]P.O.!$A:$J,9,),"")</f>
        <v>369.69</v>
      </c>
      <c r="J81" s="159">
        <f t="shared" ref="J81" si="9">IF(I81="","",I81/$E$777)</f>
        <v>1.7395813621152165E-4</v>
      </c>
      <c r="K81" s="145">
        <f>IFERROR(VLOOKUP($A81,[2]P.O.!$A:$J,10,),"")</f>
        <v>0.25</v>
      </c>
      <c r="L81" s="265"/>
    </row>
    <row r="82" spans="1:12" s="232" customFormat="1">
      <c r="A82" s="76"/>
      <c r="B82" s="91"/>
      <c r="C82" s="91"/>
      <c r="D82" s="78"/>
      <c r="E82" s="91"/>
      <c r="F82" s="139"/>
      <c r="G82" s="158"/>
      <c r="H82" s="158"/>
      <c r="I82" s="158"/>
      <c r="J82" s="159"/>
      <c r="K82" s="141"/>
    </row>
    <row r="83" spans="1:12" s="235" customFormat="1">
      <c r="A83" s="95" t="s">
        <v>215</v>
      </c>
      <c r="B83" s="96"/>
      <c r="C83" s="96"/>
      <c r="D83" s="97" t="str">
        <f>IFERROR(VLOOKUP($A83,[2]P.O.!$A:$J,4,),"")</f>
        <v>ITENS DIVERSOS</v>
      </c>
      <c r="E83" s="96"/>
      <c r="F83" s="163"/>
      <c r="G83" s="164"/>
      <c r="H83" s="164"/>
      <c r="I83" s="164"/>
      <c r="J83" s="165"/>
      <c r="K83" s="181"/>
    </row>
    <row r="84" spans="1:12" s="232" customFormat="1">
      <c r="A84" s="76" t="s">
        <v>216</v>
      </c>
      <c r="B84" s="91" t="str">
        <f>IFERROR(VLOOKUP($A84,[2]P.O.!$A:$J,2,),"")</f>
        <v>COMPS3068</v>
      </c>
      <c r="C84" s="91" t="str">
        <f>IFERROR(VLOOKUP($A84,[2]P.O.!$A:$J,3,),"")</f>
        <v>COMPOSIÇÃO</v>
      </c>
      <c r="D84" s="78" t="str">
        <f>IFERROR(VLOOKUP($A84,[2]P.O.!$A:$J,4,),"")</f>
        <v>RETIRADA DE CAIXA D'ÁGUA DE FIBROCIMENTO</v>
      </c>
      <c r="E84" s="91" t="str">
        <f>IFERROR(VLOOKUP($A84,[2]P.O.!$A:$J,5,),"")</f>
        <v>UND</v>
      </c>
      <c r="F84" s="139">
        <f>IFERROR(VLOOKUP($A84,[2]P.O.!$A:$J,6,),"")</f>
        <v>1</v>
      </c>
      <c r="G84" s="158">
        <f>IFERROR(VLOOKUP($A84,[2]P.O.!$A:$J,7,),"")</f>
        <v>81.240000000000009</v>
      </c>
      <c r="H84" s="158">
        <f>IFERROR(VLOOKUP($A84,[2]P.O.!$A:$J,8,),"")</f>
        <v>101.55</v>
      </c>
      <c r="I84" s="158">
        <f>IFERROR(VLOOKUP($A84,[2]P.O.!$A:$J,9,),"")</f>
        <v>101.55</v>
      </c>
      <c r="J84" s="159">
        <f t="shared" ref="J84:J89" si="10">IF(I84="","",I84/$E$777)</f>
        <v>4.7784491688387632E-5</v>
      </c>
      <c r="K84" s="145">
        <f>IFERROR(VLOOKUP($A84,[2]P.O.!$A:$J,10,),"")</f>
        <v>0.25</v>
      </c>
      <c r="L84" s="265"/>
    </row>
    <row r="85" spans="1:12" s="232" customFormat="1">
      <c r="A85" s="76" t="s">
        <v>217</v>
      </c>
      <c r="B85" s="91" t="str">
        <f>IFERROR(VLOOKUP($A85,[2]P.O.!$A:$J,2,),"")</f>
        <v>COMPS3069</v>
      </c>
      <c r="C85" s="91" t="str">
        <f>IFERROR(VLOOKUP($A85,[2]P.O.!$A:$J,3,),"")</f>
        <v>COMPOSIÇÃO</v>
      </c>
      <c r="D85" s="78" t="str">
        <f>IFERROR(VLOOKUP($A85,[2]P.O.!$A:$J,4,),"")</f>
        <v>RETIRADA DE TUBO DE PVC DE 1/2"A 4"</v>
      </c>
      <c r="E85" s="91" t="str">
        <f>IFERROR(VLOOKUP($A85,[2]P.O.!$A:$J,5,),"")</f>
        <v>M</v>
      </c>
      <c r="F85" s="139">
        <f>IFERROR(VLOOKUP($A85,[2]P.O.!$A:$J,6,),"")</f>
        <v>9.31</v>
      </c>
      <c r="G85" s="158">
        <f>IFERROR(VLOOKUP($A85,[2]P.O.!$A:$J,7,),"")</f>
        <v>3.4</v>
      </c>
      <c r="H85" s="158">
        <f>IFERROR(VLOOKUP($A85,[2]P.O.!$A:$J,8,),"")</f>
        <v>4.25</v>
      </c>
      <c r="I85" s="158">
        <f>IFERROR(VLOOKUP($A85,[2]P.O.!$A:$J,9,),"")</f>
        <v>39.57</v>
      </c>
      <c r="J85" s="159">
        <f t="shared" si="10"/>
        <v>1.8619717736184131E-5</v>
      </c>
      <c r="K85" s="145">
        <f>IFERROR(VLOOKUP($A85,[2]P.O.!$A:$J,10,),"")</f>
        <v>0.25</v>
      </c>
      <c r="L85" s="265"/>
    </row>
    <row r="86" spans="1:12" s="232" customFormat="1">
      <c r="A86" s="76" t="s">
        <v>218</v>
      </c>
      <c r="B86" s="91" t="str">
        <f>IFERROR(VLOOKUP($A86,[2]P.O.!$A:$J,2,),"")</f>
        <v>COMPS3070</v>
      </c>
      <c r="C86" s="91" t="str">
        <f>IFERROR(VLOOKUP($A86,[2]P.O.!$A:$J,3,),"")</f>
        <v>COMPOSIÇÃO</v>
      </c>
      <c r="D86" s="78" t="str">
        <f>IFERROR(VLOOKUP($A86,[2]P.O.!$A:$J,4,),"")</f>
        <v>RETIRADA DE QUADRO ELÉTRICO</v>
      </c>
      <c r="E86" s="91" t="str">
        <f>IFERROR(VLOOKUP($A86,[2]P.O.!$A:$J,5,),"")</f>
        <v>UND</v>
      </c>
      <c r="F86" s="139">
        <f>IFERROR(VLOOKUP($A86,[2]P.O.!$A:$J,6,),"")</f>
        <v>8</v>
      </c>
      <c r="G86" s="158">
        <f>IFERROR(VLOOKUP($A86,[2]P.O.!$A:$J,7,),"")</f>
        <v>50.65</v>
      </c>
      <c r="H86" s="158">
        <f>IFERROR(VLOOKUP($A86,[2]P.O.!$A:$J,8,),"")</f>
        <v>63.31</v>
      </c>
      <c r="I86" s="158">
        <f>IFERROR(VLOOKUP($A86,[2]P.O.!$A:$J,9,),"")</f>
        <v>506.48</v>
      </c>
      <c r="J86" s="159">
        <f t="shared" si="10"/>
        <v>2.3832485820122668E-4</v>
      </c>
      <c r="K86" s="145">
        <f>IFERROR(VLOOKUP($A86,[2]P.O.!$A:$J,10,),"")</f>
        <v>0.25</v>
      </c>
      <c r="L86" s="265"/>
    </row>
    <row r="87" spans="1:12" s="232" customFormat="1">
      <c r="A87" s="76" t="s">
        <v>219</v>
      </c>
      <c r="B87" s="91">
        <f>IFERROR(VLOOKUP($A87,[2]P.O.!$A:$J,2,),"")</f>
        <v>85407</v>
      </c>
      <c r="C87" s="91" t="str">
        <f>IFERROR(VLOOKUP($A87,[2]P.O.!$A:$J,3,),"")</f>
        <v>SINAPI SERVIÇO</v>
      </c>
      <c r="D87" s="78" t="str">
        <f>IFERROR(VLOOKUP($A87,[2]P.O.!$A:$J,4,),"")</f>
        <v>REMOCAO DE FIACAO ELETRICA</v>
      </c>
      <c r="E87" s="91" t="str">
        <f>IFERROR(VLOOKUP($A87,[2]P.O.!$A:$J,5,),"")</f>
        <v>M</v>
      </c>
      <c r="F87" s="139">
        <f>IFERROR(VLOOKUP($A87,[2]P.O.!$A:$J,6,),"")</f>
        <v>87.74</v>
      </c>
      <c r="G87" s="158">
        <f>IFERROR(VLOOKUP($A87,[2]P.O.!$A:$J,7,),"")</f>
        <v>7</v>
      </c>
      <c r="H87" s="158">
        <f>IFERROR(VLOOKUP($A87,[2]P.O.!$A:$J,8,),"")</f>
        <v>8.75</v>
      </c>
      <c r="I87" s="158">
        <f>IFERROR(VLOOKUP($A87,[2]P.O.!$A:$J,9,),"")</f>
        <v>767.73</v>
      </c>
      <c r="J87" s="159">
        <f t="shared" si="10"/>
        <v>3.6125640378065817E-4</v>
      </c>
      <c r="K87" s="145">
        <f>IFERROR(VLOOKUP($A87,[2]P.O.!$A:$J,10,),"")</f>
        <v>0.25</v>
      </c>
      <c r="L87" s="265"/>
    </row>
    <row r="88" spans="1:12" s="232" customFormat="1">
      <c r="A88" s="76" t="s">
        <v>220</v>
      </c>
      <c r="B88" s="91" t="str">
        <f>IFERROR(VLOOKUP($A88,[2]P.O.!$A:$J,2,),"")</f>
        <v>COMPS3071</v>
      </c>
      <c r="C88" s="91" t="str">
        <f>IFERROR(VLOOKUP($A88,[2]P.O.!$A:$J,3,),"")</f>
        <v>COMPOSIÇÃO</v>
      </c>
      <c r="D88" s="78" t="str">
        <f>IFERROR(VLOOKUP($A88,[2]P.O.!$A:$J,4,),"")</f>
        <v>RETIRADA DE CAIXA DE AR CONDICIONADO</v>
      </c>
      <c r="E88" s="91" t="str">
        <f>IFERROR(VLOOKUP($A88,[2]P.O.!$A:$J,5,),"")</f>
        <v>UND</v>
      </c>
      <c r="F88" s="139">
        <f>IFERROR(VLOOKUP($A88,[2]P.O.!$A:$J,6,),"")</f>
        <v>10</v>
      </c>
      <c r="G88" s="158">
        <f>IFERROR(VLOOKUP($A88,[2]P.O.!$A:$J,7,),"")</f>
        <v>56.91</v>
      </c>
      <c r="H88" s="158">
        <f>IFERROR(VLOOKUP($A88,[2]P.O.!$A:$J,8,),"")</f>
        <v>71.14</v>
      </c>
      <c r="I88" s="158">
        <f>IFERROR(VLOOKUP($A88,[2]P.O.!$A:$J,9,),"")</f>
        <v>711.4</v>
      </c>
      <c r="J88" s="159">
        <f t="shared" si="10"/>
        <v>3.3475024507256487E-4</v>
      </c>
      <c r="K88" s="145">
        <f>IFERROR(VLOOKUP($A88,[2]P.O.!$A:$J,10,),"")</f>
        <v>0.25</v>
      </c>
      <c r="L88" s="265"/>
    </row>
    <row r="89" spans="1:12" s="232" customFormat="1">
      <c r="A89" s="76" t="s">
        <v>221</v>
      </c>
      <c r="B89" s="91" t="str">
        <f>IFERROR(VLOOKUP($A89,[2]P.O.!$A:$J,2,),"")</f>
        <v>COMPS3072</v>
      </c>
      <c r="C89" s="91" t="str">
        <f>IFERROR(VLOOKUP($A89,[2]P.O.!$A:$J,3,),"")</f>
        <v>COMPOSIÇÃO</v>
      </c>
      <c r="D89" s="78" t="str">
        <f>IFERROR(VLOOKUP($A89,[2]P.O.!$A:$J,4,),"")</f>
        <v>RETIRADA DE ESTÁTUA DECORATIVA PARA JARDIM</v>
      </c>
      <c r="E89" s="91" t="str">
        <f>IFERROR(VLOOKUP($A89,[2]P.O.!$A:$J,5,),"")</f>
        <v>UND</v>
      </c>
      <c r="F89" s="139">
        <f>IFERROR(VLOOKUP($A89,[2]P.O.!$A:$J,6,),"")</f>
        <v>1</v>
      </c>
      <c r="G89" s="158">
        <f>IFERROR(VLOOKUP($A89,[2]P.O.!$A:$J,7,),"")</f>
        <v>25.799999999999997</v>
      </c>
      <c r="H89" s="158">
        <f>IFERROR(VLOOKUP($A89,[2]P.O.!$A:$J,8,),"")</f>
        <v>32.25</v>
      </c>
      <c r="I89" s="158">
        <f>IFERROR(VLOOKUP($A89,[2]P.O.!$A:$J,9,),"")</f>
        <v>32.25</v>
      </c>
      <c r="J89" s="159">
        <f t="shared" si="10"/>
        <v>1.5175281703106855E-5</v>
      </c>
      <c r="K89" s="145">
        <f>IFERROR(VLOOKUP($A89,[2]P.O.!$A:$J,10,),"")</f>
        <v>0.25</v>
      </c>
      <c r="L89" s="265"/>
    </row>
    <row r="90" spans="1:12" s="232" customFormat="1">
      <c r="A90" s="76"/>
      <c r="B90" s="91"/>
      <c r="C90" s="91"/>
      <c r="D90" s="78"/>
      <c r="E90" s="91"/>
      <c r="F90" s="139"/>
      <c r="G90" s="158"/>
      <c r="H90" s="158"/>
      <c r="I90" s="158"/>
      <c r="J90" s="159"/>
      <c r="K90" s="141"/>
    </row>
    <row r="91" spans="1:12" s="235" customFormat="1">
      <c r="A91" s="95" t="s">
        <v>222</v>
      </c>
      <c r="B91" s="96"/>
      <c r="C91" s="96"/>
      <c r="D91" s="97" t="str">
        <f>IFERROR(VLOOKUP($A91,[2]P.O.!$A:$J,4,),"")</f>
        <v>GRANITO</v>
      </c>
      <c r="E91" s="96"/>
      <c r="F91" s="163"/>
      <c r="G91" s="164"/>
      <c r="H91" s="164"/>
      <c r="I91" s="164"/>
      <c r="J91" s="165"/>
      <c r="K91" s="181"/>
    </row>
    <row r="92" spans="1:12" s="232" customFormat="1">
      <c r="A92" s="76" t="s">
        <v>223</v>
      </c>
      <c r="B92" s="91" t="str">
        <f>IFERROR(VLOOKUP($A92,[2]P.O.!$A:$J,2,),"")</f>
        <v>COMPS3063</v>
      </c>
      <c r="C92" s="91" t="str">
        <f>IFERROR(VLOOKUP($A92,[2]P.O.!$A:$J,3,),"")</f>
        <v>COMPOSIÇÃO</v>
      </c>
      <c r="D92" s="78" t="str">
        <f>IFERROR(VLOOKUP($A92,[2]P.O.!$A:$J,4,),"")</f>
        <v>RETIRADA DE BANCADA EM GRANITO/AÇO INOX</v>
      </c>
      <c r="E92" s="91" t="str">
        <f>IFERROR(VLOOKUP($A92,[2]P.O.!$A:$J,5,),"")</f>
        <v>M</v>
      </c>
      <c r="F92" s="139">
        <f>IFERROR(VLOOKUP($A92,[2]P.O.!$A:$J,6,),"")</f>
        <v>3.01</v>
      </c>
      <c r="G92" s="158">
        <f>IFERROR(VLOOKUP($A92,[2]P.O.!$A:$J,7,),"")</f>
        <v>5.64</v>
      </c>
      <c r="H92" s="158">
        <f>IFERROR(VLOOKUP($A92,[2]P.O.!$A:$J,8,),"")</f>
        <v>7.05</v>
      </c>
      <c r="I92" s="158">
        <f>IFERROR(VLOOKUP($A92,[2]P.O.!$A:$J,9,),"")</f>
        <v>21.22</v>
      </c>
      <c r="J92" s="159">
        <f t="shared" ref="J92" si="11">IF(I92="","",I92/$E$777)</f>
        <v>9.9851000849589906E-6</v>
      </c>
      <c r="K92" s="145">
        <f>IFERROR(VLOOKUP($A92,[2]P.O.!$A:$J,10,),"")</f>
        <v>0.25</v>
      </c>
      <c r="L92" s="265"/>
    </row>
    <row r="93" spans="1:12" s="232" customFormat="1">
      <c r="A93" s="76"/>
      <c r="B93" s="91"/>
      <c r="C93" s="91"/>
      <c r="D93" s="78"/>
      <c r="E93" s="91"/>
      <c r="F93" s="139"/>
      <c r="G93" s="158"/>
      <c r="H93" s="158"/>
      <c r="I93" s="158"/>
      <c r="J93" s="159"/>
      <c r="K93" s="141"/>
    </row>
    <row r="94" spans="1:12" s="244" customFormat="1">
      <c r="A94" s="92" t="s">
        <v>46</v>
      </c>
      <c r="B94" s="93"/>
      <c r="C94" s="93"/>
      <c r="D94" s="94" t="str">
        <f>IFERROR(VLOOKUP($A94,[2]P.O.!$A:$J,4,),"")</f>
        <v>RESTAURO E INTERVENÇÃO</v>
      </c>
      <c r="E94" s="93"/>
      <c r="F94" s="160"/>
      <c r="G94" s="161"/>
      <c r="H94" s="161"/>
      <c r="I94" s="161"/>
      <c r="J94" s="162"/>
      <c r="K94" s="243"/>
    </row>
    <row r="95" spans="1:12" s="232" customFormat="1">
      <c r="A95" s="98"/>
      <c r="B95" s="99"/>
      <c r="C95" s="99"/>
      <c r="D95" s="100"/>
      <c r="E95" s="99"/>
      <c r="F95" s="166"/>
      <c r="G95" s="167"/>
      <c r="H95" s="167"/>
      <c r="I95" s="167"/>
      <c r="J95" s="168"/>
      <c r="K95" s="245"/>
    </row>
    <row r="96" spans="1:12" s="235" customFormat="1">
      <c r="A96" s="95" t="s">
        <v>224</v>
      </c>
      <c r="B96" s="96"/>
      <c r="C96" s="96"/>
      <c r="D96" s="97" t="str">
        <f>IFERROR(VLOOKUP($A96,[2]P.O.!$A:$J,4,),"")</f>
        <v>PISO</v>
      </c>
      <c r="E96" s="96"/>
      <c r="F96" s="163"/>
      <c r="G96" s="164"/>
      <c r="H96" s="164"/>
      <c r="I96" s="164"/>
      <c r="J96" s="165"/>
      <c r="K96" s="181"/>
    </row>
    <row r="97" spans="1:12" s="232" customFormat="1">
      <c r="A97" s="76" t="s">
        <v>225</v>
      </c>
      <c r="B97" s="91" t="str">
        <f>IFERROR(VLOOKUP($A97,[2]P.O.!$A:$J,2,),"")</f>
        <v>COMPS3087</v>
      </c>
      <c r="C97" s="91" t="str">
        <f>IFERROR(VLOOKUP($A97,[2]P.O.!$A:$J,3,),"")</f>
        <v>COMPOSIÇÃO</v>
      </c>
      <c r="D97" s="78" t="str">
        <f>IFERROR(VLOOKUP($A97,[2]P.O.!$A:$J,4,),"")</f>
        <v>RECONSOLIDAÇÃO DE ELEMENTO ESTRUTURAL - RACHADURA DE PISO EM GRANILITE</v>
      </c>
      <c r="E97" s="91" t="str">
        <f>IFERROR(VLOOKUP($A97,[2]P.O.!$A:$J,5,),"")</f>
        <v>M</v>
      </c>
      <c r="F97" s="139">
        <f>IFERROR(VLOOKUP($A97,[2]P.O.!$A:$J,6,),"")</f>
        <v>8.68</v>
      </c>
      <c r="G97" s="158">
        <f>IFERROR(VLOOKUP($A97,[2]P.O.!$A:$J,7,),"")</f>
        <v>13.790000000000001</v>
      </c>
      <c r="H97" s="158">
        <f>IFERROR(VLOOKUP($A97,[2]P.O.!$A:$J,8,),"")</f>
        <v>17.239999999999998</v>
      </c>
      <c r="I97" s="158">
        <f>IFERROR(VLOOKUP($A97,[2]P.O.!$A:$J,9,),"")</f>
        <v>149.63999999999999</v>
      </c>
      <c r="J97" s="159">
        <f t="shared" ref="J97" si="12">IF(I97="","",I97/$E$777)</f>
        <v>7.0413307102415795E-5</v>
      </c>
      <c r="K97" s="145">
        <f>IFERROR(VLOOKUP($A97,[2]P.O.!$A:$J,10,),"")</f>
        <v>0.25</v>
      </c>
      <c r="L97" s="265"/>
    </row>
    <row r="98" spans="1:12" s="232" customFormat="1">
      <c r="A98" s="76"/>
      <c r="B98" s="91"/>
      <c r="C98" s="91"/>
      <c r="D98" s="78"/>
      <c r="E98" s="91"/>
      <c r="F98" s="139"/>
      <c r="G98" s="158"/>
      <c r="H98" s="158"/>
      <c r="I98" s="158"/>
      <c r="J98" s="159"/>
      <c r="K98" s="141"/>
    </row>
    <row r="99" spans="1:12" s="235" customFormat="1">
      <c r="A99" s="95" t="s">
        <v>226</v>
      </c>
      <c r="B99" s="96"/>
      <c r="C99" s="96"/>
      <c r="D99" s="97" t="str">
        <f>IFERROR(VLOOKUP($A99,[2]P.O.!$A:$J,4,),"")</f>
        <v>PAREDES</v>
      </c>
      <c r="E99" s="96"/>
      <c r="F99" s="163"/>
      <c r="G99" s="164"/>
      <c r="H99" s="164"/>
      <c r="I99" s="164"/>
      <c r="J99" s="165"/>
      <c r="K99" s="181"/>
    </row>
    <row r="100" spans="1:12" s="232" customFormat="1" ht="33">
      <c r="A100" s="76" t="s">
        <v>227</v>
      </c>
      <c r="B100" s="91" t="str">
        <f>IFERROR(VLOOKUP($A100,[2]P.O.!$A:$J,2,),"")</f>
        <v>COMPS3088</v>
      </c>
      <c r="C100" s="91" t="str">
        <f>IFERROR(VLOOKUP($A100,[2]P.O.!$A:$J,3,),"")</f>
        <v>COMPOSIÇÃO</v>
      </c>
      <c r="D100" s="78" t="str">
        <f>IFERROR(VLOOKUP($A100,[2]P.O.!$A:$J,4,),"")</f>
        <v>RECONSOLIDAÇÃO DE REBOCO DESCOLADO (COM ARGAMASSA DE CAL E AREIA COM 5% DE CIMENTO NO TRAÇO DE 1:3 SEM APLICAÇÃO DE CHAPISCO)</v>
      </c>
      <c r="E100" s="91" t="str">
        <f>IFERROR(VLOOKUP($A100,[2]P.O.!$A:$J,5,),"")</f>
        <v>M2</v>
      </c>
      <c r="F100" s="139">
        <f>IFERROR(VLOOKUP($A100,[2]P.O.!$A:$J,6,),"")</f>
        <v>3.75</v>
      </c>
      <c r="G100" s="158">
        <f>IFERROR(VLOOKUP($A100,[2]P.O.!$A:$J,7,),"")</f>
        <v>15</v>
      </c>
      <c r="H100" s="158">
        <f>IFERROR(VLOOKUP($A100,[2]P.O.!$A:$J,8,),"")</f>
        <v>18.75</v>
      </c>
      <c r="I100" s="158">
        <f>IFERROR(VLOOKUP($A100,[2]P.O.!$A:$J,9,),"")</f>
        <v>70.31</v>
      </c>
      <c r="J100" s="159">
        <f t="shared" ref="J100:J102" si="13">IF(I100="","",I100/$E$777)</f>
        <v>3.308446686962614E-5</v>
      </c>
      <c r="K100" s="145">
        <f>IFERROR(VLOOKUP($A100,[2]P.O.!$A:$J,10,),"")</f>
        <v>0.25</v>
      </c>
      <c r="L100" s="265"/>
    </row>
    <row r="101" spans="1:12" s="235" customFormat="1">
      <c r="A101" s="76" t="s">
        <v>228</v>
      </c>
      <c r="B101" s="91" t="str">
        <f>IFERROR(VLOOKUP($A101,[2]P.O.!$A:$J,2,),"")</f>
        <v>73806/001</v>
      </c>
      <c r="C101" s="91" t="str">
        <f>IFERROR(VLOOKUP($A101,[2]P.O.!$A:$J,3,),"")</f>
        <v>SINAPI SERVIÇO</v>
      </c>
      <c r="D101" s="78" t="str">
        <f>IFERROR(VLOOKUP($A101,[2]P.O.!$A:$J,4,),"")</f>
        <v>LIMPEZA DE SUPERFICIES COM JATO DE ALTA PRESSAO DE AR E AGUA</v>
      </c>
      <c r="E101" s="91" t="str">
        <f>IFERROR(VLOOKUP($A101,[2]P.O.!$A:$J,5,),"")</f>
        <v>M2</v>
      </c>
      <c r="F101" s="139">
        <f>IFERROR(VLOOKUP($A101,[2]P.O.!$A:$J,6,),"")</f>
        <v>411.91</v>
      </c>
      <c r="G101" s="158">
        <f>IFERROR(VLOOKUP($A101,[2]P.O.!$A:$J,7,),"")</f>
        <v>1.26</v>
      </c>
      <c r="H101" s="158">
        <f>IFERROR(VLOOKUP($A101,[2]P.O.!$A:$J,8,),"")</f>
        <v>1.58</v>
      </c>
      <c r="I101" s="158">
        <f>IFERROR(VLOOKUP($A101,[2]P.O.!$A:$J,9,),"")</f>
        <v>650.82000000000005</v>
      </c>
      <c r="J101" s="159">
        <f t="shared" si="13"/>
        <v>3.0624424303925593E-4</v>
      </c>
      <c r="K101" s="145">
        <f>IFERROR(VLOOKUP($A101,[2]P.O.!$A:$J,10,),"")</f>
        <v>0.25</v>
      </c>
      <c r="L101" s="265"/>
    </row>
    <row r="102" spans="1:12" s="232" customFormat="1">
      <c r="A102" s="76" t="s">
        <v>229</v>
      </c>
      <c r="B102" s="91">
        <f>IFERROR(VLOOKUP($A102,[2]P.O.!$A:$J,2,),"")</f>
        <v>72125</v>
      </c>
      <c r="C102" s="91" t="str">
        <f>IFERROR(VLOOKUP($A102,[2]P.O.!$A:$J,3,),"")</f>
        <v>SINAPI SERVIÇO</v>
      </c>
      <c r="D102" s="78" t="str">
        <f>IFERROR(VLOOKUP($A102,[2]P.O.!$A:$J,4,),"")</f>
        <v>REMOÇÃO DE PINTURA PVA/ACRILICA</v>
      </c>
      <c r="E102" s="91" t="str">
        <f>IFERROR(VLOOKUP($A102,[2]P.O.!$A:$J,5,),"")</f>
        <v>M2</v>
      </c>
      <c r="F102" s="139">
        <f>IFERROR(VLOOKUP($A102,[2]P.O.!$A:$J,6,),"")</f>
        <v>618.1</v>
      </c>
      <c r="G102" s="158">
        <f>IFERROR(VLOOKUP($A102,[2]P.O.!$A:$J,7,),"")</f>
        <v>6.33</v>
      </c>
      <c r="H102" s="158">
        <f>IFERROR(VLOOKUP($A102,[2]P.O.!$A:$J,8,),"")</f>
        <v>7.91</v>
      </c>
      <c r="I102" s="158">
        <f>IFERROR(VLOOKUP($A102,[2]P.O.!$A:$J,9,),"")</f>
        <v>4889.17</v>
      </c>
      <c r="J102" s="159">
        <f t="shared" si="13"/>
        <v>2.3006056447869442E-3</v>
      </c>
      <c r="K102" s="145">
        <f>IFERROR(VLOOKUP($A102,[2]P.O.!$A:$J,10,),"")</f>
        <v>0.25</v>
      </c>
      <c r="L102" s="265"/>
    </row>
    <row r="103" spans="1:12" s="232" customFormat="1">
      <c r="A103" s="76"/>
      <c r="B103" s="91"/>
      <c r="C103" s="91"/>
      <c r="D103" s="78"/>
      <c r="E103" s="91"/>
      <c r="F103" s="139"/>
      <c r="G103" s="158"/>
      <c r="H103" s="158"/>
      <c r="I103" s="158"/>
      <c r="J103" s="159"/>
      <c r="K103" s="141"/>
    </row>
    <row r="104" spans="1:12" s="235" customFormat="1">
      <c r="A104" s="95" t="s">
        <v>230</v>
      </c>
      <c r="B104" s="96"/>
      <c r="C104" s="96"/>
      <c r="D104" s="97" t="str">
        <f>IFERROR(VLOOKUP($A104,[2]P.O.!$A:$J,4,),"")</f>
        <v>ORNATOS</v>
      </c>
      <c r="E104" s="96"/>
      <c r="F104" s="163"/>
      <c r="G104" s="164"/>
      <c r="H104" s="164"/>
      <c r="I104" s="164"/>
      <c r="J104" s="165"/>
      <c r="K104" s="181"/>
    </row>
    <row r="105" spans="1:12" s="232" customFormat="1" ht="33">
      <c r="A105" s="76" t="s">
        <v>231</v>
      </c>
      <c r="B105" s="91" t="str">
        <f>IFERROR(VLOOKUP($A105,[2]P.O.!$A:$J,2,),"")</f>
        <v>COMPS3102</v>
      </c>
      <c r="C105" s="91" t="str">
        <f>IFERROR(VLOOKUP($A105,[2]P.O.!$A:$J,3,),"")</f>
        <v>COMPOSIÇÃO</v>
      </c>
      <c r="D105" s="78" t="str">
        <f>IFERROR(VLOOKUP($A105,[2]P.O.!$A:$J,4,),"")</f>
        <v>REFAZIMENTO PEÇA EM ARGAMASSA DE CAL E AREIA COM 5% DE CIMENTO COM FORMA DE SILICONE E ASSENTAMENTO NO LOCAL - CAPITEL (RESTAURO)</v>
      </c>
      <c r="E105" s="91" t="str">
        <f>IFERROR(VLOOKUP($A105,[2]P.O.!$A:$J,5,),"")</f>
        <v>M2</v>
      </c>
      <c r="F105" s="139">
        <f>IFERROR(VLOOKUP($A105,[2]P.O.!$A:$J,6,),"")</f>
        <v>0.43</v>
      </c>
      <c r="G105" s="158">
        <f>IFERROR(VLOOKUP($A105,[2]P.O.!$A:$J,7,),"")</f>
        <v>289.08</v>
      </c>
      <c r="H105" s="158">
        <f>IFERROR(VLOOKUP($A105,[2]P.O.!$A:$J,8,),"")</f>
        <v>361.35</v>
      </c>
      <c r="I105" s="158">
        <f>IFERROR(VLOOKUP($A105,[2]P.O.!$A:$J,9,),"")</f>
        <v>155.38</v>
      </c>
      <c r="J105" s="159">
        <f t="shared" ref="J105:J107" si="14">IF(I105="","",I105/$E$777)</f>
        <v>7.3114271969883509E-5</v>
      </c>
      <c r="K105" s="145">
        <f>IFERROR(VLOOKUP($A105,[2]P.O.!$A:$J,10,),"")</f>
        <v>0.25</v>
      </c>
      <c r="L105" s="265"/>
    </row>
    <row r="106" spans="1:12" s="232" customFormat="1" ht="33">
      <c r="A106" s="76" t="s">
        <v>232</v>
      </c>
      <c r="B106" s="91" t="str">
        <f>IFERROR(VLOOKUP($A106,[2]P.O.!$A:$J,2,),"")</f>
        <v>COMPS3103</v>
      </c>
      <c r="C106" s="91" t="str">
        <f>IFERROR(VLOOKUP($A106,[2]P.O.!$A:$J,3,),"")</f>
        <v>COMPOSIÇÃO</v>
      </c>
      <c r="D106" s="78" t="str">
        <f>IFERROR(VLOOKUP($A106,[2]P.O.!$A:$J,4,),"")</f>
        <v>INJEÇÃO DE NATA DE CAL COM CARACTERÍSTICA PASTOSA APLICADA COM SERINGA PLÁSTICA PARA PREENCHIMENTO DE FISSURAS - CAPITEL (RESTAURO)</v>
      </c>
      <c r="E106" s="91" t="str">
        <f>IFERROR(VLOOKUP($A106,[2]P.O.!$A:$J,5,),"")</f>
        <v>M2</v>
      </c>
      <c r="F106" s="139">
        <f>IFERROR(VLOOKUP($A106,[2]P.O.!$A:$J,6,),"")</f>
        <v>0.43</v>
      </c>
      <c r="G106" s="158">
        <f>IFERROR(VLOOKUP($A106,[2]P.O.!$A:$J,7,),"")</f>
        <v>343.78999999999996</v>
      </c>
      <c r="H106" s="158">
        <f>IFERROR(VLOOKUP($A106,[2]P.O.!$A:$J,8,),"")</f>
        <v>429.74</v>
      </c>
      <c r="I106" s="158">
        <f>IFERROR(VLOOKUP($A106,[2]P.O.!$A:$J,9,),"")</f>
        <v>184.79</v>
      </c>
      <c r="J106" s="159">
        <f t="shared" si="14"/>
        <v>8.6953187780375673E-5</v>
      </c>
      <c r="K106" s="145">
        <f>IFERROR(VLOOKUP($A106,[2]P.O.!$A:$J,10,),"")</f>
        <v>0.25</v>
      </c>
      <c r="L106" s="265"/>
    </row>
    <row r="107" spans="1:12" s="232" customFormat="1" ht="33">
      <c r="A107" s="76" t="s">
        <v>233</v>
      </c>
      <c r="B107" s="91" t="str">
        <f>IFERROR(VLOOKUP($A107,[2]P.O.!$A:$J,2,),"")</f>
        <v>COMPS3104</v>
      </c>
      <c r="C107" s="91" t="str">
        <f>IFERROR(VLOOKUP($A107,[2]P.O.!$A:$J,3,),"")</f>
        <v>COMPOSIÇÃO</v>
      </c>
      <c r="D107" s="78" t="str">
        <f>IFERROR(VLOOKUP($A107,[2]P.O.!$A:$J,4,),"")</f>
        <v>PREENCHIMENTO COM CACOS DE CERÂMICA E POSTERIOR APLICAÇÃO DE ARGAMASSA - CORNIJA (RESTAURO)</v>
      </c>
      <c r="E107" s="91" t="str">
        <f>IFERROR(VLOOKUP($A107,[2]P.O.!$A:$J,5,),"")</f>
        <v>M2</v>
      </c>
      <c r="F107" s="139">
        <f>IFERROR(VLOOKUP($A107,[2]P.O.!$A:$J,6,),"")</f>
        <v>0.27</v>
      </c>
      <c r="G107" s="158">
        <f>IFERROR(VLOOKUP($A107,[2]P.O.!$A:$J,7,),"")</f>
        <v>181.72</v>
      </c>
      <c r="H107" s="158">
        <f>IFERROR(VLOOKUP($A107,[2]P.O.!$A:$J,8,),"")</f>
        <v>227.15</v>
      </c>
      <c r="I107" s="158">
        <f>IFERROR(VLOOKUP($A107,[2]P.O.!$A:$J,9,),"")</f>
        <v>61.33</v>
      </c>
      <c r="J107" s="159">
        <f t="shared" si="14"/>
        <v>2.8858915561288168E-5</v>
      </c>
      <c r="K107" s="145">
        <f>IFERROR(VLOOKUP($A107,[2]P.O.!$A:$J,10,),"")</f>
        <v>0.25</v>
      </c>
      <c r="L107" s="265"/>
    </row>
    <row r="108" spans="1:12" s="232" customFormat="1">
      <c r="A108" s="76"/>
      <c r="B108" s="91"/>
      <c r="C108" s="91"/>
      <c r="D108" s="78"/>
      <c r="E108" s="91"/>
      <c r="F108" s="139"/>
      <c r="G108" s="158"/>
      <c r="H108" s="158"/>
      <c r="I108" s="158"/>
      <c r="J108" s="159"/>
      <c r="K108" s="141"/>
    </row>
    <row r="109" spans="1:12" s="235" customFormat="1">
      <c r="A109" s="95" t="s">
        <v>234</v>
      </c>
      <c r="B109" s="96"/>
      <c r="C109" s="96"/>
      <c r="D109" s="97" t="str">
        <f>IFERROR(VLOOKUP($A109,[2]P.O.!$A:$J,4,),"")</f>
        <v>ITENS DIVERSOS</v>
      </c>
      <c r="E109" s="96"/>
      <c r="F109" s="163"/>
      <c r="G109" s="164"/>
      <c r="H109" s="164"/>
      <c r="I109" s="164"/>
      <c r="J109" s="165"/>
      <c r="K109" s="181"/>
    </row>
    <row r="110" spans="1:12" s="235" customFormat="1">
      <c r="A110" s="76" t="s">
        <v>235</v>
      </c>
      <c r="B110" s="91" t="str">
        <f>IFERROR(VLOOKUP($A110,[2]P.O.!$A:$J,2,),"")</f>
        <v>COMPS3092</v>
      </c>
      <c r="C110" s="91" t="str">
        <f>IFERROR(VLOOKUP($A110,[2]P.O.!$A:$J,3,),"")</f>
        <v>COMPOSIÇÃO</v>
      </c>
      <c r="D110" s="78" t="str">
        <f>IFERROR(VLOOKUP($A110,[2]P.O.!$A:$J,4,),"")</f>
        <v>RECOLOCAÇÃO DA PEÇA NO LOCAL - ARANDELA</v>
      </c>
      <c r="E110" s="91" t="str">
        <f>IFERROR(VLOOKUP($A110,[2]P.O.!$A:$J,5,),"")</f>
        <v>UND</v>
      </c>
      <c r="F110" s="139">
        <f>IFERROR(VLOOKUP($A110,[2]P.O.!$A:$J,6,),"")</f>
        <v>1</v>
      </c>
      <c r="G110" s="158">
        <f>IFERROR(VLOOKUP($A110,[2]P.O.!$A:$J,7,),"")</f>
        <v>40.569999999999993</v>
      </c>
      <c r="H110" s="158">
        <f>IFERROR(VLOOKUP($A110,[2]P.O.!$A:$J,8,),"")</f>
        <v>50.71</v>
      </c>
      <c r="I110" s="158">
        <f>IFERROR(VLOOKUP($A110,[2]P.O.!$A:$J,9,),"")</f>
        <v>50.71</v>
      </c>
      <c r="J110" s="159">
        <f t="shared" ref="J110:J111" si="15">IF(I110="","",I110/$E$777)</f>
        <v>2.3861660005102282E-5</v>
      </c>
      <c r="K110" s="145">
        <f>IFERROR(VLOOKUP($A110,[2]P.O.!$A:$J,10,),"")</f>
        <v>0.25</v>
      </c>
      <c r="L110" s="265"/>
    </row>
    <row r="111" spans="1:12" s="232" customFormat="1">
      <c r="A111" s="76" t="s">
        <v>236</v>
      </c>
      <c r="B111" s="91" t="str">
        <f>IFERROR(VLOOKUP($A111,[2]P.O.!$A:$J,2,),"")</f>
        <v>COMPS3093</v>
      </c>
      <c r="C111" s="91" t="str">
        <f>IFERROR(VLOOKUP($A111,[2]P.O.!$A:$J,3,),"")</f>
        <v>COMPOSIÇÃO</v>
      </c>
      <c r="D111" s="78" t="str">
        <f>IFERROR(VLOOKUP($A111,[2]P.O.!$A:$J,4,),"")</f>
        <v>PLANO DE LIMPEZA E CONSERVAÇÃO - GERAL</v>
      </c>
      <c r="E111" s="91" t="str">
        <f>IFERROR(VLOOKUP($A111,[2]P.O.!$A:$J,5,),"")</f>
        <v>UND</v>
      </c>
      <c r="F111" s="139">
        <f>IFERROR(VLOOKUP($A111,[2]P.O.!$A:$J,6,),"")</f>
        <v>1</v>
      </c>
      <c r="G111" s="158">
        <f>IFERROR(VLOOKUP($A111,[2]P.O.!$A:$J,7,),"")</f>
        <v>16183.2</v>
      </c>
      <c r="H111" s="158">
        <f>IFERROR(VLOOKUP($A111,[2]P.O.!$A:$J,8,),"")</f>
        <v>20229</v>
      </c>
      <c r="I111" s="158">
        <f>IFERROR(VLOOKUP($A111,[2]P.O.!$A:$J,9,),"")</f>
        <v>20229</v>
      </c>
      <c r="J111" s="159">
        <f t="shared" si="15"/>
        <v>9.518783676655769E-3</v>
      </c>
      <c r="K111" s="145">
        <f>IFERROR(VLOOKUP($A111,[2]P.O.!$A:$J,10,),"")</f>
        <v>0.25</v>
      </c>
      <c r="L111" s="265"/>
    </row>
    <row r="112" spans="1:12" s="235" customFormat="1">
      <c r="A112" s="76"/>
      <c r="B112" s="91"/>
      <c r="C112" s="91"/>
      <c r="D112" s="78"/>
      <c r="E112" s="91"/>
      <c r="F112" s="139"/>
      <c r="G112" s="158"/>
      <c r="H112" s="158"/>
      <c r="I112" s="158"/>
      <c r="J112" s="159"/>
      <c r="K112" s="141"/>
    </row>
    <row r="113" spans="1:12" s="244" customFormat="1">
      <c r="A113" s="92" t="s">
        <v>47</v>
      </c>
      <c r="B113" s="93"/>
      <c r="C113" s="93"/>
      <c r="D113" s="94" t="str">
        <f>IFERROR(VLOOKUP($A113,[2]P.O.!$A:$J,4,),"")</f>
        <v>CONSTRUÇÕES</v>
      </c>
      <c r="E113" s="93"/>
      <c r="F113" s="160"/>
      <c r="G113" s="161"/>
      <c r="H113" s="161"/>
      <c r="I113" s="161"/>
      <c r="J113" s="162"/>
      <c r="K113" s="243"/>
    </row>
    <row r="114" spans="1:12" s="232" customFormat="1">
      <c r="A114" s="98"/>
      <c r="B114" s="99"/>
      <c r="C114" s="99"/>
      <c r="D114" s="100"/>
      <c r="E114" s="99"/>
      <c r="F114" s="166"/>
      <c r="G114" s="167"/>
      <c r="H114" s="167"/>
      <c r="I114" s="167"/>
      <c r="J114" s="168"/>
      <c r="K114" s="245"/>
    </row>
    <row r="115" spans="1:12" s="235" customFormat="1">
      <c r="A115" s="101" t="s">
        <v>237</v>
      </c>
      <c r="B115" s="102"/>
      <c r="C115" s="102"/>
      <c r="D115" s="103" t="str">
        <f>IFERROR(VLOOKUP($A115,[2]P.O.!$A:$J,4,),"")</f>
        <v>PISO</v>
      </c>
      <c r="E115" s="102"/>
      <c r="F115" s="169"/>
      <c r="G115" s="170"/>
      <c r="H115" s="170"/>
      <c r="I115" s="170"/>
      <c r="J115" s="171"/>
      <c r="K115" s="246"/>
    </row>
    <row r="116" spans="1:12" s="232" customFormat="1">
      <c r="A116" s="104"/>
      <c r="B116" s="105"/>
      <c r="C116" s="105"/>
      <c r="D116" s="106"/>
      <c r="E116" s="105"/>
      <c r="F116" s="172"/>
      <c r="G116" s="173"/>
      <c r="H116" s="173"/>
      <c r="I116" s="173"/>
      <c r="J116" s="174"/>
      <c r="K116" s="247"/>
    </row>
    <row r="117" spans="1:12" s="235" customFormat="1">
      <c r="A117" s="95" t="s">
        <v>238</v>
      </c>
      <c r="B117" s="96"/>
      <c r="C117" s="96"/>
      <c r="D117" s="97" t="str">
        <f>IFERROR(VLOOKUP($A117,[2]P.O.!$A:$J,4,),"")</f>
        <v>CONTRAPISO</v>
      </c>
      <c r="E117" s="96"/>
      <c r="F117" s="163"/>
      <c r="G117" s="164"/>
      <c r="H117" s="164"/>
      <c r="I117" s="164"/>
      <c r="J117" s="165"/>
      <c r="K117" s="181"/>
    </row>
    <row r="118" spans="1:12" s="235" customFormat="1">
      <c r="A118" s="76" t="s">
        <v>239</v>
      </c>
      <c r="B118" s="91" t="str">
        <f>IFERROR(VLOOKUP($A118,[2]P.O.!$A:$J,2,),"")</f>
        <v>73907/003</v>
      </c>
      <c r="C118" s="91" t="str">
        <f>IFERROR(VLOOKUP($A118,[2]P.O.!$A:$J,3,),"")</f>
        <v>SINAPI SERVIÇO</v>
      </c>
      <c r="D118" s="78" t="str">
        <f>IFERROR(VLOOKUP($A118,[2]P.O.!$A:$J,4,),"")</f>
        <v>CONTRAPISO/LASTRO DE CONCRETO NAO-ESTRUTURAL, E=5CM, PREPARO COM BETON   EIRA</v>
      </c>
      <c r="E118" s="91" t="str">
        <f>IFERROR(VLOOKUP($A118,[2]P.O.!$A:$J,5,),"")</f>
        <v>M2</v>
      </c>
      <c r="F118" s="139">
        <f>IFERROR(VLOOKUP($A118,[2]P.O.!$A:$J,6,),"")</f>
        <v>117.42</v>
      </c>
      <c r="G118" s="158">
        <f>IFERROR(VLOOKUP($A118,[2]P.O.!$A:$J,7,),"")</f>
        <v>25.81</v>
      </c>
      <c r="H118" s="158">
        <f>IFERROR(VLOOKUP($A118,[2]P.O.!$A:$J,8,),"")</f>
        <v>32.26</v>
      </c>
      <c r="I118" s="158">
        <f>IFERROR(VLOOKUP($A118,[2]P.O.!$A:$J,9,),"")</f>
        <v>3787.97</v>
      </c>
      <c r="J118" s="159">
        <f t="shared" ref="J118" si="16">IF(I118="","",I118/$E$777)</f>
        <v>1.7824344754393076E-3</v>
      </c>
      <c r="K118" s="145">
        <f>IFERROR(VLOOKUP($A118,[2]P.O.!$A:$J,10,),"")</f>
        <v>0.25</v>
      </c>
      <c r="L118" s="265"/>
    </row>
    <row r="119" spans="1:12" s="232" customFormat="1">
      <c r="A119" s="76"/>
      <c r="B119" s="91"/>
      <c r="C119" s="91"/>
      <c r="D119" s="78"/>
      <c r="E119" s="91"/>
      <c r="F119" s="139"/>
      <c r="G119" s="158"/>
      <c r="H119" s="158"/>
      <c r="I119" s="158"/>
      <c r="J119" s="159"/>
      <c r="K119" s="141"/>
    </row>
    <row r="120" spans="1:12" s="235" customFormat="1">
      <c r="A120" s="95" t="s">
        <v>240</v>
      </c>
      <c r="B120" s="96"/>
      <c r="C120" s="96"/>
      <c r="D120" s="97" t="str">
        <f>IFERROR(VLOOKUP($A120,[2]P.O.!$A:$J,4,),"")</f>
        <v>REVESTIMENTOS</v>
      </c>
      <c r="E120" s="96"/>
      <c r="F120" s="163"/>
      <c r="G120" s="164"/>
      <c r="H120" s="164"/>
      <c r="I120" s="164"/>
      <c r="J120" s="165"/>
      <c r="K120" s="181"/>
    </row>
    <row r="121" spans="1:12" s="235" customFormat="1" ht="66">
      <c r="A121" s="76" t="s">
        <v>241</v>
      </c>
      <c r="B121" s="91" t="str">
        <f>IFERROR(VLOOKUP($A121,[2]P.O.!$A:$J,2,),"")</f>
        <v>COMPS3001</v>
      </c>
      <c r="C121" s="91" t="str">
        <f>IFERROR(VLOOKUP($A121,[2]P.O.!$A:$J,3,),"")</f>
        <v>COMPOSIÇÃO</v>
      </c>
      <c r="D121" s="78" t="str">
        <f>IFERROR(VLOOKUP($A121,[2]P.O.!$A:$J,4,),"")</f>
        <v>FORNECIMENTO E APLICAÇÃO DE PISO EM PORCELANATO NATURAL, 60X60CM, LINHA ECOSTONE NA, COR BRANCO, ELIANE OU EQUIVALENTE TÉCNICO, ASSENTADO COM ARGAMASSA PARA PORCELANATO INTERNO QUARTZOLIT OU EQUIVALENTE TÉCNICO, COM REJUNTAMENTO PARA PORCELANATO INTERNO, 2MM, NA COR BRANCO, QUARTZOLIT OU EQUIVALENTE TÉCNICO.</v>
      </c>
      <c r="E121" s="91" t="str">
        <f>IFERROR(VLOOKUP($A121,[2]P.O.!$A:$J,5,),"")</f>
        <v>M2</v>
      </c>
      <c r="F121" s="139">
        <f>IFERROR(VLOOKUP($A121,[2]P.O.!$A:$J,6,),"")</f>
        <v>94.3</v>
      </c>
      <c r="G121" s="158">
        <f>IFERROR(VLOOKUP($A121,[2]P.O.!$A:$J,7,),"")</f>
        <v>123.53</v>
      </c>
      <c r="H121" s="158">
        <f>IFERROR(VLOOKUP($A121,[2]P.O.!$A:$J,8,),"")</f>
        <v>154.41</v>
      </c>
      <c r="I121" s="158">
        <f>IFERROR(VLOOKUP($A121,[2]P.O.!$A:$J,9,),"")</f>
        <v>14560.86</v>
      </c>
      <c r="J121" s="159">
        <f t="shared" ref="J121:J127" si="17">IF(I121="","",I121/$E$777)</f>
        <v>6.851632630682186E-3</v>
      </c>
      <c r="K121" s="145">
        <f>IFERROR(VLOOKUP($A121,[2]P.O.!$A:$J,10,),"")</f>
        <v>0.25</v>
      </c>
      <c r="L121" s="265"/>
    </row>
    <row r="122" spans="1:12" s="232" customFormat="1" ht="49.5">
      <c r="A122" s="76" t="s">
        <v>242</v>
      </c>
      <c r="B122" s="91" t="str">
        <f>IFERROR(VLOOKUP($A122,[2]P.O.!$A:$J,2,),"")</f>
        <v>COMPS3005</v>
      </c>
      <c r="C122" s="91" t="str">
        <f>IFERROR(VLOOKUP($A122,[2]P.O.!$A:$J,3,),"")</f>
        <v>COMPOSIÇÃO</v>
      </c>
      <c r="D122" s="78" t="str">
        <f>IFERROR(VLOOKUP($A122,[2]P.O.!$A:$J,4,),"")</f>
        <v>FORNECIMENTO E APLICAÇÃO DE PISO EM TIJOLEIRA 30X15, ASSENTADO COM ARGAMASSA DE CIMENTO E AREIA 1:5, COM REJUNTAMENTO FLEXÍVEL 7MM, QUARTZOLIT OU EQUIVALENTE TÉCNICO.</v>
      </c>
      <c r="E122" s="91" t="str">
        <f>IFERROR(VLOOKUP($A122,[2]P.O.!$A:$J,5,),"")</f>
        <v>M2</v>
      </c>
      <c r="F122" s="139">
        <f>IFERROR(VLOOKUP($A122,[2]P.O.!$A:$J,6,),"")</f>
        <v>166.7</v>
      </c>
      <c r="G122" s="158">
        <f>IFERROR(VLOOKUP($A122,[2]P.O.!$A:$J,7,),"")</f>
        <v>76.640000000000015</v>
      </c>
      <c r="H122" s="158">
        <f>IFERROR(VLOOKUP($A122,[2]P.O.!$A:$J,8,),"")</f>
        <v>95.8</v>
      </c>
      <c r="I122" s="158">
        <f>IFERROR(VLOOKUP($A122,[2]P.O.!$A:$J,9,),"")</f>
        <v>15969.86</v>
      </c>
      <c r="J122" s="159">
        <f t="shared" si="17"/>
        <v>7.5146395119124977E-3</v>
      </c>
      <c r="K122" s="145">
        <f>IFERROR(VLOOKUP($A122,[2]P.O.!$A:$J,10,),"")</f>
        <v>0.25</v>
      </c>
      <c r="L122" s="265"/>
    </row>
    <row r="123" spans="1:12" s="232" customFormat="1" ht="49.5">
      <c r="A123" s="76" t="s">
        <v>243</v>
      </c>
      <c r="B123" s="91" t="str">
        <f>IFERROR(VLOOKUP($A123,[2]P.O.!$A:$J,2,),"")</f>
        <v>COTSV3001</v>
      </c>
      <c r="C123" s="91" t="str">
        <f>IFERROR(VLOOKUP($A123,[2]P.O.!$A:$J,3,),"")</f>
        <v>COTAÇÃO</v>
      </c>
      <c r="D123" s="78" t="str">
        <f>IFERROR(VLOOKUP($A123,[2]P.O.!$A:$J,4,),"")</f>
        <v>FORNECIMENTO E INSTALAÇÃO DE PISO EM LAMINADO DE MADEIRA  DISPOSTO EM REGUAS (8X187X1200MM), NA COR SAVOY, LINHA NATURE, FABRICANTE DURAFLOOR OU EQUIVALENTE TECNICO</v>
      </c>
      <c r="E123" s="91" t="str">
        <f>IFERROR(VLOOKUP($A123,[2]P.O.!$A:$J,5,),"")</f>
        <v>M2</v>
      </c>
      <c r="F123" s="139">
        <f>IFERROR(VLOOKUP($A123,[2]P.O.!$A:$J,6,),"")</f>
        <v>158.69999999999999</v>
      </c>
      <c r="G123" s="158">
        <f>IFERROR(VLOOKUP($A123,[2]P.O.!$A:$J,7,),"")</f>
        <v>104.04854712819768</v>
      </c>
      <c r="H123" s="158">
        <f>IFERROR(VLOOKUP($A123,[2]P.O.!$A:$J,8,),"")</f>
        <v>121.53</v>
      </c>
      <c r="I123" s="158">
        <f>IFERROR(VLOOKUP($A123,[2]P.O.!$A:$J,9,),"")</f>
        <v>19286.810000000001</v>
      </c>
      <c r="J123" s="159">
        <f t="shared" si="17"/>
        <v>9.0754348807534375E-3</v>
      </c>
      <c r="K123" s="145">
        <f>IFERROR(VLOOKUP($A123,[2]P.O.!$A:$J,10,),"")</f>
        <v>0.16800000000000001</v>
      </c>
      <c r="L123" s="265"/>
    </row>
    <row r="124" spans="1:12" s="235" customFormat="1" ht="33">
      <c r="A124" s="76" t="s">
        <v>244</v>
      </c>
      <c r="B124" s="91" t="str">
        <f>IFERROR(VLOOKUP($A124,[2]P.O.!$A:$J,2,),"")</f>
        <v>COTSV3003</v>
      </c>
      <c r="C124" s="91" t="str">
        <f>IFERROR(VLOOKUP($A124,[2]P.O.!$A:$J,3,),"")</f>
        <v>COTAÇÃO</v>
      </c>
      <c r="D124" s="78" t="str">
        <f>IFERROR(VLOOKUP($A124,[2]P.O.!$A:$J,4,),"")</f>
        <v>FORNECIMENTO E INSTALAÇÃO DE RODAPÉ EM LAMINADO DE MADEIRA, ALTURA 12CM, TIPO VOGUE, LINHA NATURE, DURAFLOOR OU EQUIVALENTE TÉCNICO.</v>
      </c>
      <c r="E124" s="91" t="str">
        <f>IFERROR(VLOOKUP($A124,[2]P.O.!$A:$J,5,),"")</f>
        <v>M</v>
      </c>
      <c r="F124" s="139">
        <f>IFERROR(VLOOKUP($A124,[2]P.O.!$A:$J,6,),"")</f>
        <v>69.010000000000005</v>
      </c>
      <c r="G124" s="158">
        <f>IFERROR(VLOOKUP($A124,[2]P.O.!$A:$J,7,),"")</f>
        <v>27.902713833812864</v>
      </c>
      <c r="H124" s="158">
        <f>IFERROR(VLOOKUP($A124,[2]P.O.!$A:$J,8,),"")</f>
        <v>32.590000000000003</v>
      </c>
      <c r="I124" s="158">
        <f>IFERROR(VLOOKUP($A124,[2]P.O.!$A:$J,9,),"")</f>
        <v>2249.04</v>
      </c>
      <c r="J124" s="159">
        <f t="shared" si="17"/>
        <v>1.058288854621874E-3</v>
      </c>
      <c r="K124" s="145">
        <f>IFERROR(VLOOKUP($A124,[2]P.O.!$A:$J,10,),"")</f>
        <v>0.16800000000000001</v>
      </c>
      <c r="L124" s="265"/>
    </row>
    <row r="125" spans="1:12" s="232" customFormat="1" ht="49.5">
      <c r="A125" s="76" t="s">
        <v>245</v>
      </c>
      <c r="B125" s="91" t="str">
        <f>IFERROR(VLOOKUP($A125,[2]P.O.!$A:$J,2,),"")</f>
        <v>COMPS3006</v>
      </c>
      <c r="C125" s="91" t="str">
        <f>IFERROR(VLOOKUP($A125,[2]P.O.!$A:$J,3,),"")</f>
        <v>COMPOSIÇÃO</v>
      </c>
      <c r="D125" s="78" t="str">
        <f>IFERROR(VLOOKUP($A125,[2]P.O.!$A:$J,4,),"")</f>
        <v>FORNECIMENTO E APLICAÇÃO DE PISO TÁTIL DE SOBREPOR, EM BORRACHA SINTÉTICA, DO TIPO ALERTA NA COR PRETA, DIMENSÕES 250X250X5MM, TOTAL ACESSIBILIDADE OU EQUIVALENTE TÉCNICO.</v>
      </c>
      <c r="E125" s="91" t="str">
        <f>IFERROR(VLOOKUP($A125,[2]P.O.!$A:$J,5,),"")</f>
        <v>M2</v>
      </c>
      <c r="F125" s="139">
        <f>IFERROR(VLOOKUP($A125,[2]P.O.!$A:$J,6,),"")</f>
        <v>2.1</v>
      </c>
      <c r="G125" s="158">
        <f>IFERROR(VLOOKUP($A125,[2]P.O.!$A:$J,7,),"")</f>
        <v>117.17</v>
      </c>
      <c r="H125" s="158">
        <f>IFERROR(VLOOKUP($A125,[2]P.O.!$A:$J,8,),"")</f>
        <v>146.46</v>
      </c>
      <c r="I125" s="158">
        <f>IFERROR(VLOOKUP($A125,[2]P.O.!$A:$J,9,),"")</f>
        <v>307.57</v>
      </c>
      <c r="J125" s="159">
        <f t="shared" si="17"/>
        <v>1.447274850674287E-4</v>
      </c>
      <c r="K125" s="145">
        <f>IFERROR(VLOOKUP($A125,[2]P.O.!$A:$J,10,),"")</f>
        <v>0.25</v>
      </c>
      <c r="L125" s="265"/>
    </row>
    <row r="126" spans="1:12" s="232" customFormat="1" ht="33">
      <c r="A126" s="76" t="s">
        <v>246</v>
      </c>
      <c r="B126" s="91" t="str">
        <f>IFERROR(VLOOKUP($A126,[2]P.O.!$A:$J,2,),"")</f>
        <v>COMPS3073</v>
      </c>
      <c r="C126" s="91" t="str">
        <f>IFERROR(VLOOKUP($A126,[2]P.O.!$A:$J,3,),"")</f>
        <v>COMPOSIÇÃO</v>
      </c>
      <c r="D126" s="78" t="str">
        <f>IFERROR(VLOOKUP($A126,[2]P.O.!$A:$J,4,),"")</f>
        <v>EXECUÇÃO DE PISO CIMENTADO TRACO 1:3 (CIMENTO E AREIA) COM ACABAMENTO LISO ESPESSURA 2,0CM COM JUNTAS PLASTICAS DE DILATACAO E PREPARO MANUAL DA ARGAMASSA</v>
      </c>
      <c r="E126" s="91" t="str">
        <f>IFERROR(VLOOKUP($A126,[2]P.O.!$A:$J,5,),"")</f>
        <v>M2</v>
      </c>
      <c r="F126" s="139">
        <f>IFERROR(VLOOKUP($A126,[2]P.O.!$A:$J,6,),"")</f>
        <v>23.74</v>
      </c>
      <c r="G126" s="158">
        <f>IFERROR(VLOOKUP($A126,[2]P.O.!$A:$J,7,),"")</f>
        <v>44.449999999999996</v>
      </c>
      <c r="H126" s="158">
        <f>IFERROR(VLOOKUP($A126,[2]P.O.!$A:$J,8,),"")</f>
        <v>55.56</v>
      </c>
      <c r="I126" s="158">
        <f>IFERROR(VLOOKUP($A126,[2]P.O.!$A:$J,9,),"")</f>
        <v>1318.99</v>
      </c>
      <c r="J126" s="159">
        <f t="shared" si="17"/>
        <v>6.2065255235909799E-4</v>
      </c>
      <c r="K126" s="145">
        <f>IFERROR(VLOOKUP($A126,[2]P.O.!$A:$J,10,),"")</f>
        <v>0.25</v>
      </c>
      <c r="L126" s="265"/>
    </row>
    <row r="127" spans="1:12" s="232" customFormat="1" ht="66">
      <c r="A127" s="76" t="s">
        <v>247</v>
      </c>
      <c r="B127" s="91" t="str">
        <f>IFERROR(VLOOKUP($A127,[2]P.O.!$A:$J,2,),"")</f>
        <v>COMPS3007</v>
      </c>
      <c r="C127" s="91" t="str">
        <f>IFERROR(VLOOKUP($A127,[2]P.O.!$A:$J,3,),"")</f>
        <v>COMPOSIÇÃO</v>
      </c>
      <c r="D127" s="78" t="str">
        <f>IFERROR(VLOOKUP($A127,[2]P.O.!$A:$J,4,),"")</f>
        <v>FORNECIMENTO E APLICAÇÃO DE REVESTIMENTO PARA PISO OU PAREDE EM CERÂMICA CRISTAL BRANCO 10X10CM, ELIZABETH OU EQUIVALENTE TÉCNICO, ASSENTADO COM ARGAMASSA COLANTE DE USO INTERNO AC I E REJUNTE FLEXÍVEL COR PLATINA E=3MM, QUARTZOLIT OU EQUIVALENTE TÉCNICO.</v>
      </c>
      <c r="E127" s="91" t="str">
        <f>IFERROR(VLOOKUP($A127,[2]P.O.!$A:$J,5,),"")</f>
        <v>M2</v>
      </c>
      <c r="F127" s="139">
        <f>IFERROR(VLOOKUP($A127,[2]P.O.!$A:$J,6,),"")</f>
        <v>1.05</v>
      </c>
      <c r="G127" s="158">
        <f>IFERROR(VLOOKUP($A127,[2]P.O.!$A:$J,7,),"")</f>
        <v>46.599999999999994</v>
      </c>
      <c r="H127" s="158">
        <f>IFERROR(VLOOKUP($A127,[2]P.O.!$A:$J,8,),"")</f>
        <v>58.25</v>
      </c>
      <c r="I127" s="158">
        <f>IFERROR(VLOOKUP($A127,[2]P.O.!$A:$J,9,),"")</f>
        <v>61.16</v>
      </c>
      <c r="J127" s="159">
        <f t="shared" si="17"/>
        <v>2.877892182827954E-5</v>
      </c>
      <c r="K127" s="145">
        <f>IFERROR(VLOOKUP($A127,[2]P.O.!$A:$J,10,),"")</f>
        <v>0.25</v>
      </c>
      <c r="L127" s="265"/>
    </row>
    <row r="128" spans="1:12" s="232" customFormat="1">
      <c r="A128" s="76"/>
      <c r="B128" s="91"/>
      <c r="C128" s="91"/>
      <c r="D128" s="78"/>
      <c r="E128" s="91"/>
      <c r="F128" s="139"/>
      <c r="G128" s="158"/>
      <c r="H128" s="158"/>
      <c r="I128" s="158"/>
      <c r="J128" s="159"/>
      <c r="K128" s="141"/>
    </row>
    <row r="129" spans="1:12" s="235" customFormat="1">
      <c r="A129" s="101" t="s">
        <v>248</v>
      </c>
      <c r="B129" s="102"/>
      <c r="C129" s="102"/>
      <c r="D129" s="103" t="str">
        <f>IFERROR(VLOOKUP($A129,[2]P.O.!$A:$J,4,),"")</f>
        <v>PAREDE</v>
      </c>
      <c r="E129" s="102"/>
      <c r="F129" s="169"/>
      <c r="G129" s="170"/>
      <c r="H129" s="170"/>
      <c r="I129" s="170"/>
      <c r="J129" s="171"/>
      <c r="K129" s="246"/>
    </row>
    <row r="130" spans="1:12" s="232" customFormat="1">
      <c r="A130" s="76"/>
      <c r="B130" s="91"/>
      <c r="C130" s="91"/>
      <c r="D130" s="78"/>
      <c r="E130" s="91"/>
      <c r="F130" s="139"/>
      <c r="G130" s="158"/>
      <c r="H130" s="158"/>
      <c r="I130" s="158"/>
      <c r="J130" s="159"/>
      <c r="K130" s="141"/>
    </row>
    <row r="131" spans="1:12" s="235" customFormat="1">
      <c r="A131" s="95" t="s">
        <v>249</v>
      </c>
      <c r="B131" s="96"/>
      <c r="C131" s="96"/>
      <c r="D131" s="97" t="str">
        <f>IFERROR(VLOOKUP($A131,[2]P.O.!$A:$J,4,),"")</f>
        <v>ALVENARIA</v>
      </c>
      <c r="E131" s="96"/>
      <c r="F131" s="163"/>
      <c r="G131" s="164"/>
      <c r="H131" s="164"/>
      <c r="I131" s="164"/>
      <c r="J131" s="165"/>
      <c r="K131" s="181"/>
    </row>
    <row r="132" spans="1:12" s="232" customFormat="1" ht="49.5">
      <c r="A132" s="76" t="s">
        <v>250</v>
      </c>
      <c r="B132" s="91">
        <f>IFERROR(VLOOKUP($A132,[2]P.O.!$A:$J,2,),"")</f>
        <v>87507</v>
      </c>
      <c r="C132" s="91" t="str">
        <f>IFERROR(VLOOKUP($A132,[2]P.O.!$A:$J,3,),"")</f>
        <v>SINAPI SERVIÇO</v>
      </c>
      <c r="D132" s="78" t="str">
        <f>IFERROR(VLOOKUP($A132,[2]P.O.!$A:$J,4,),"")</f>
        <v>ALVENARIA DE VEDAÇÃO DE BLOCOS CERÂMICOS FURADOS NA HORIZONTAL DE 9X14   X19CM (ESPESSURA 9CM) DE PAREDES COM ÁREA LÍQUIDA MAIOR OU IGUAL A 6M²SEM VÃOS E ARGAMASSA DE ASSENTAMENTO COM PREPARO EM BETONEIRA. AF_06/2014</v>
      </c>
      <c r="E132" s="91" t="str">
        <f>IFERROR(VLOOKUP($A132,[2]P.O.!$A:$J,5,),"")</f>
        <v>M2</v>
      </c>
      <c r="F132" s="139">
        <f>IFERROR(VLOOKUP($A132,[2]P.O.!$A:$J,6,),"")</f>
        <v>139.15</v>
      </c>
      <c r="G132" s="158">
        <f>IFERROR(VLOOKUP($A132,[2]P.O.!$A:$J,7,),"")</f>
        <v>66.87</v>
      </c>
      <c r="H132" s="158">
        <f>IFERROR(VLOOKUP($A132,[2]P.O.!$A:$J,8,),"")</f>
        <v>83.59</v>
      </c>
      <c r="I132" s="158">
        <f>IFERROR(VLOOKUP($A132,[2]P.O.!$A:$J,9,),"")</f>
        <v>11631.55</v>
      </c>
      <c r="J132" s="159">
        <f t="shared" ref="J132" si="18">IF(I132="","",I132/$E$777)</f>
        <v>5.4732417951557375E-3</v>
      </c>
      <c r="K132" s="145">
        <f>IFERROR(VLOOKUP($A132,[2]P.O.!$A:$J,10,),"")</f>
        <v>0.25</v>
      </c>
      <c r="L132" s="265"/>
    </row>
    <row r="133" spans="1:12" s="232" customFormat="1">
      <c r="A133" s="76"/>
      <c r="B133" s="91"/>
      <c r="C133" s="91"/>
      <c r="D133" s="78"/>
      <c r="E133" s="91"/>
      <c r="F133" s="139"/>
      <c r="G133" s="158"/>
      <c r="H133" s="158"/>
      <c r="I133" s="158"/>
      <c r="J133" s="159"/>
      <c r="K133" s="141"/>
    </row>
    <row r="134" spans="1:12" s="235" customFormat="1">
      <c r="A134" s="95" t="s">
        <v>251</v>
      </c>
      <c r="B134" s="96"/>
      <c r="C134" s="96"/>
      <c r="D134" s="97" t="str">
        <f>IFERROR(VLOOKUP($A134,[2]P.O.!$A:$J,4,),"")</f>
        <v>CHAPISCO</v>
      </c>
      <c r="E134" s="96"/>
      <c r="F134" s="163"/>
      <c r="G134" s="164"/>
      <c r="H134" s="164"/>
      <c r="I134" s="164"/>
      <c r="J134" s="165"/>
      <c r="K134" s="181"/>
    </row>
    <row r="135" spans="1:12" s="232" customFormat="1" ht="49.5">
      <c r="A135" s="76" t="s">
        <v>252</v>
      </c>
      <c r="B135" s="91">
        <f>IFERROR(VLOOKUP($A135,[2]P.O.!$A:$J,2,),"")</f>
        <v>87893</v>
      </c>
      <c r="C135" s="91" t="str">
        <f>IFERROR(VLOOKUP($A135,[2]P.O.!$A:$J,3,),"")</f>
        <v>SINAPI SERVIÇO</v>
      </c>
      <c r="D135" s="78" t="str">
        <f>IFERROR(VLOOKUP($A135,[2]P.O.!$A:$J,4,),"")</f>
        <v>CHAPISCO APLICADO TANTO EM PILARES E VIGAS DE CONCRETO COMO EM ALVENAR   IA DE FACHADA SEM PRESENÇA DE VÃOS, COM COLHER DE PEDREIRO. ARGAMASSATRAÇO 1:3 COM PREPARO MANUAL. AF_06/2014</v>
      </c>
      <c r="E135" s="91" t="str">
        <f>IFERROR(VLOOKUP($A135,[2]P.O.!$A:$J,5,),"")</f>
        <v>M2</v>
      </c>
      <c r="F135" s="139">
        <f>IFERROR(VLOOKUP($A135,[2]P.O.!$A:$J,6,),"")</f>
        <v>278.3</v>
      </c>
      <c r="G135" s="158">
        <f>IFERROR(VLOOKUP($A135,[2]P.O.!$A:$J,7,),"")</f>
        <v>4.3099999999999996</v>
      </c>
      <c r="H135" s="158">
        <f>IFERROR(VLOOKUP($A135,[2]P.O.!$A:$J,8,),"")</f>
        <v>5.39</v>
      </c>
      <c r="I135" s="158">
        <f>IFERROR(VLOOKUP($A135,[2]P.O.!$A:$J,9,),"")</f>
        <v>1500.04</v>
      </c>
      <c r="J135" s="159">
        <f t="shared" ref="J135" si="19">IF(I135="","",I135/$E$777)</f>
        <v>7.0584587801328391E-4</v>
      </c>
      <c r="K135" s="145">
        <f>IFERROR(VLOOKUP($A135,[2]P.O.!$A:$J,10,),"")</f>
        <v>0.25</v>
      </c>
      <c r="L135" s="265"/>
    </row>
    <row r="136" spans="1:12" s="235" customFormat="1">
      <c r="A136" s="76"/>
      <c r="B136" s="91"/>
      <c r="C136" s="91"/>
      <c r="D136" s="78"/>
      <c r="E136" s="91"/>
      <c r="F136" s="139"/>
      <c r="G136" s="158"/>
      <c r="H136" s="158"/>
      <c r="I136" s="158"/>
      <c r="J136" s="159"/>
      <c r="K136" s="141"/>
    </row>
    <row r="137" spans="1:12" s="235" customFormat="1">
      <c r="A137" s="95" t="s">
        <v>253</v>
      </c>
      <c r="B137" s="96"/>
      <c r="C137" s="96"/>
      <c r="D137" s="97" t="str">
        <f>IFERROR(VLOOKUP($A137,[2]P.O.!$A:$J,4,),"")</f>
        <v>EMBOÇO</v>
      </c>
      <c r="E137" s="96"/>
      <c r="F137" s="163"/>
      <c r="G137" s="164"/>
      <c r="H137" s="164"/>
      <c r="I137" s="164"/>
      <c r="J137" s="165"/>
      <c r="K137" s="181"/>
    </row>
    <row r="138" spans="1:12" s="232" customFormat="1" ht="49.5">
      <c r="A138" s="76" t="s">
        <v>254</v>
      </c>
      <c r="B138" s="91">
        <f>IFERROR(VLOOKUP($A138,[2]P.O.!$A:$J,2,),"")</f>
        <v>90406</v>
      </c>
      <c r="C138" s="91" t="str">
        <f>IFERROR(VLOOKUP($A138,[2]P.O.!$A:$J,3,),"")</f>
        <v>SINAPI SERVIÇO</v>
      </c>
      <c r="D138" s="78" t="str">
        <f>IFERROR(VLOOKUP($A138,[2]P.O.!$A:$J,4,),"")</f>
        <v>MASSA ÚNICA, PARA RECEBIMENTO DE PINTURA, EM ARGAMASSA TRAÇO 1:2:8, PR   EPARO MECÂNICO COM BETONEIRA 400L, APLICADA MANUALMENTE EM TETO, ESPESSURA DE 20MM, COM EXECUÇÃO DE TALISCAS. AF_03/2015</v>
      </c>
      <c r="E138" s="91" t="str">
        <f>IFERROR(VLOOKUP($A138,[2]P.O.!$A:$J,5,),"")</f>
        <v>M2</v>
      </c>
      <c r="F138" s="139">
        <f>IFERROR(VLOOKUP($A138,[2]P.O.!$A:$J,6,),"")</f>
        <v>278.3</v>
      </c>
      <c r="G138" s="158">
        <f>IFERROR(VLOOKUP($A138,[2]P.O.!$A:$J,7,),"")</f>
        <v>29.6</v>
      </c>
      <c r="H138" s="158">
        <f>IFERROR(VLOOKUP($A138,[2]P.O.!$A:$J,8,),"")</f>
        <v>37</v>
      </c>
      <c r="I138" s="158">
        <f>IFERROR(VLOOKUP($A138,[2]P.O.!$A:$J,9,),"")</f>
        <v>10297.1</v>
      </c>
      <c r="J138" s="159">
        <f t="shared" ref="J138" si="20">IF(I138="","",I138/$E$777)</f>
        <v>4.8453145186065612E-3</v>
      </c>
      <c r="K138" s="145">
        <f>IFERROR(VLOOKUP($A138,[2]P.O.!$A:$J,10,),"")</f>
        <v>0.25</v>
      </c>
      <c r="L138" s="265"/>
    </row>
    <row r="139" spans="1:12" s="232" customFormat="1">
      <c r="A139" s="76"/>
      <c r="B139" s="91"/>
      <c r="C139" s="91"/>
      <c r="D139" s="78"/>
      <c r="E139" s="91"/>
      <c r="F139" s="139"/>
      <c r="G139" s="158"/>
      <c r="H139" s="158"/>
      <c r="I139" s="158"/>
      <c r="J139" s="159"/>
      <c r="K139" s="141"/>
    </row>
    <row r="140" spans="1:12" s="235" customFormat="1">
      <c r="A140" s="95" t="s">
        <v>255</v>
      </c>
      <c r="B140" s="96"/>
      <c r="C140" s="96"/>
      <c r="D140" s="97" t="str">
        <f>IFERROR(VLOOKUP($A140,[2]P.O.!$A:$J,4,),"")</f>
        <v>REVESTIMENTOS</v>
      </c>
      <c r="E140" s="96"/>
      <c r="F140" s="163"/>
      <c r="G140" s="164"/>
      <c r="H140" s="164"/>
      <c r="I140" s="164"/>
      <c r="J140" s="165"/>
      <c r="K140" s="181"/>
    </row>
    <row r="141" spans="1:12" s="235" customFormat="1" ht="49.5">
      <c r="A141" s="76" t="s">
        <v>256</v>
      </c>
      <c r="B141" s="91" t="str">
        <f>IFERROR(VLOOKUP($A141,[2]P.O.!$A:$J,2,),"")</f>
        <v>COMPS3003</v>
      </c>
      <c r="C141" s="91" t="str">
        <f>IFERROR(VLOOKUP($A141,[2]P.O.!$A:$J,3,),"")</f>
        <v>COMPOSIÇÃO</v>
      </c>
      <c r="D141" s="78" t="str">
        <f>IFERROR(VLOOKUP($A141,[2]P.O.!$A:$J,4,),"")</f>
        <v>FORNECIMENTO E APLICAÇÃO DE REVESTIMENTO CIMENTICIO LINHA CRAFT, REF. CR500 NA COR TRAVERTINO, DIMENSÕES 50X50CM, FABRICANTE SOLARIUM OU EQUVALENTE TECNICO, ASSENTADO COM ARGAMASSA INDUSTRIALIZADA E REJUNTE FLEXÍVEL</v>
      </c>
      <c r="E141" s="91" t="str">
        <f>IFERROR(VLOOKUP($A141,[2]P.O.!$A:$J,5,),"")</f>
        <v>M2</v>
      </c>
      <c r="F141" s="139">
        <f>IFERROR(VLOOKUP($A141,[2]P.O.!$A:$J,6,),"")</f>
        <v>63.88</v>
      </c>
      <c r="G141" s="158">
        <f>IFERROR(VLOOKUP($A141,[2]P.O.!$A:$J,7,),"")</f>
        <v>258.89999999999998</v>
      </c>
      <c r="H141" s="158">
        <f>IFERROR(VLOOKUP($A141,[2]P.O.!$A:$J,8,),"")</f>
        <v>323.63</v>
      </c>
      <c r="I141" s="158">
        <f>IFERROR(VLOOKUP($A141,[2]P.O.!$A:$J,9,),"")</f>
        <v>20673.48</v>
      </c>
      <c r="J141" s="159">
        <f t="shared" ref="J141:J148" si="21">IF(I141="","",I141/$E$777)</f>
        <v>9.7279343498773794E-3</v>
      </c>
      <c r="K141" s="145">
        <f>IFERROR(VLOOKUP($A141,[2]P.O.!$A:$J,10,),"")</f>
        <v>0.25</v>
      </c>
      <c r="L141" s="265"/>
    </row>
    <row r="142" spans="1:12" s="232" customFormat="1" ht="33">
      <c r="A142" s="76" t="s">
        <v>257</v>
      </c>
      <c r="B142" s="91" t="str">
        <f>IFERROR(VLOOKUP($A142,[2]P.O.!$A:$J,2,),"")</f>
        <v>COMPS3008</v>
      </c>
      <c r="C142" s="91" t="str">
        <f>IFERROR(VLOOKUP($A142,[2]P.O.!$A:$J,3,),"")</f>
        <v>COMPOSIÇÃO</v>
      </c>
      <c r="D142" s="78" t="str">
        <f>IFERROR(VLOOKUP($A142,[2]P.O.!$A:$J,4,),"")</f>
        <v>PAREDE EMASSADA COM MASSA ACRÍLICA E PINTADA COM TINTA ACRÍLICA NA COR AÇÚCAR CRISTAL, REF.: A204, SUVINIL OU EQUIVALENTE TÉCNICO.</v>
      </c>
      <c r="E142" s="91" t="str">
        <f>IFERROR(VLOOKUP($A142,[2]P.O.!$A:$J,5,),"")</f>
        <v>M2</v>
      </c>
      <c r="F142" s="139">
        <f>IFERROR(VLOOKUP($A142,[2]P.O.!$A:$J,6,),"")</f>
        <v>235.87</v>
      </c>
      <c r="G142" s="158">
        <f>IFERROR(VLOOKUP($A142,[2]P.O.!$A:$J,7,),"")</f>
        <v>18.919999999999998</v>
      </c>
      <c r="H142" s="158">
        <f>IFERROR(VLOOKUP($A142,[2]P.O.!$A:$J,8,),"")</f>
        <v>23.65</v>
      </c>
      <c r="I142" s="158">
        <f>IFERROR(VLOOKUP($A142,[2]P.O.!$A:$J,9,),"")</f>
        <v>5578.33</v>
      </c>
      <c r="J142" s="159">
        <f t="shared" si="21"/>
        <v>2.624890827376498E-3</v>
      </c>
      <c r="K142" s="145">
        <f>IFERROR(VLOOKUP($A142,[2]P.O.!$A:$J,10,),"")</f>
        <v>0.25</v>
      </c>
      <c r="L142" s="265"/>
    </row>
    <row r="143" spans="1:12" s="232" customFormat="1" ht="33">
      <c r="A143" s="76" t="s">
        <v>258</v>
      </c>
      <c r="B143" s="91" t="str">
        <f>IFERROR(VLOOKUP($A143,[2]P.O.!$A:$J,2,),"")</f>
        <v>COMPS3009</v>
      </c>
      <c r="C143" s="91" t="str">
        <f>IFERROR(VLOOKUP($A143,[2]P.O.!$A:$J,3,),"")</f>
        <v>COMPOSIÇÃO</v>
      </c>
      <c r="D143" s="78" t="str">
        <f>IFERROR(VLOOKUP($A143,[2]P.O.!$A:$J,4,),"")</f>
        <v>PAREDE EMASSADA COM MASSA PVA E PINTADA COM TINTA PVA A BASE DÁGUA NA COR BRANCO NEVE,  SUVINIL, OU EQUIVALENTE TÉCNICO.</v>
      </c>
      <c r="E143" s="91" t="str">
        <f>IFERROR(VLOOKUP($A143,[2]P.O.!$A:$J,5,),"")</f>
        <v>M2</v>
      </c>
      <c r="F143" s="139">
        <f>IFERROR(VLOOKUP($A143,[2]P.O.!$A:$J,6,),"")</f>
        <v>651.67999999999995</v>
      </c>
      <c r="G143" s="158">
        <f>IFERROR(VLOOKUP($A143,[2]P.O.!$A:$J,7,),"")</f>
        <v>14.969999999999999</v>
      </c>
      <c r="H143" s="158">
        <f>IFERROR(VLOOKUP($A143,[2]P.O.!$A:$J,8,),"")</f>
        <v>18.71</v>
      </c>
      <c r="I143" s="158">
        <f>IFERROR(VLOOKUP($A143,[2]P.O.!$A:$J,9,),"")</f>
        <v>12192.93</v>
      </c>
      <c r="J143" s="159">
        <f t="shared" si="21"/>
        <v>5.7373999236050438E-3</v>
      </c>
      <c r="K143" s="145">
        <f>IFERROR(VLOOKUP($A143,[2]P.O.!$A:$J,10,),"")</f>
        <v>0.25</v>
      </c>
      <c r="L143" s="265"/>
    </row>
    <row r="144" spans="1:12" s="235" customFormat="1" ht="33">
      <c r="A144" s="76" t="s">
        <v>259</v>
      </c>
      <c r="B144" s="91" t="str">
        <f>IFERROR(VLOOKUP($A144,[2]P.O.!$A:$J,2,),"")</f>
        <v>COMPS3010</v>
      </c>
      <c r="C144" s="91" t="str">
        <f>IFERROR(VLOOKUP($A144,[2]P.O.!$A:$J,3,),"")</f>
        <v>COMPOSIÇÃO</v>
      </c>
      <c r="D144" s="78" t="str">
        <f>IFERROR(VLOOKUP($A144,[2]P.O.!$A:$J,4,),"")</f>
        <v>PAREDE EMASSADA COM MASSA PVA E PINTADA COM TINTA PVA A BASE D'ÁGUA NA COR FERMENTO EM PÓ, REF.: C173, SUVINIL OU EQUIVALENTE TÉCNICO.</v>
      </c>
      <c r="E144" s="91" t="str">
        <f>IFERROR(VLOOKUP($A144,[2]P.O.!$A:$J,5,),"")</f>
        <v>M2</v>
      </c>
      <c r="F144" s="139">
        <f>IFERROR(VLOOKUP($A144,[2]P.O.!$A:$J,6,),"")</f>
        <v>503.25</v>
      </c>
      <c r="G144" s="158">
        <f>IFERROR(VLOOKUP($A144,[2]P.O.!$A:$J,7,),"")</f>
        <v>73.06</v>
      </c>
      <c r="H144" s="158">
        <f>IFERROR(VLOOKUP($A144,[2]P.O.!$A:$J,8,),"")</f>
        <v>91.33</v>
      </c>
      <c r="I144" s="158">
        <f>IFERROR(VLOOKUP($A144,[2]P.O.!$A:$J,9,),"")</f>
        <v>45961.82</v>
      </c>
      <c r="J144" s="159">
        <f t="shared" si="21"/>
        <v>2.1627397398061729E-2</v>
      </c>
      <c r="K144" s="145">
        <f>IFERROR(VLOOKUP($A144,[2]P.O.!$A:$J,10,),"")</f>
        <v>0.25</v>
      </c>
      <c r="L144" s="265"/>
    </row>
    <row r="145" spans="1:12" s="232" customFormat="1" ht="33">
      <c r="A145" s="76" t="s">
        <v>260</v>
      </c>
      <c r="B145" s="91" t="str">
        <f>IFERROR(VLOOKUP($A145,[2]P.O.!$A:$J,2,),"")</f>
        <v>COMPS3011</v>
      </c>
      <c r="C145" s="91" t="str">
        <f>IFERROR(VLOOKUP($A145,[2]P.O.!$A:$J,3,),"")</f>
        <v>COMPOSIÇÃO</v>
      </c>
      <c r="D145" s="78" t="str">
        <f>IFERROR(VLOOKUP($A145,[2]P.O.!$A:$J,4,),"")</f>
        <v>PAREDE EMASSADA COM MASSA PVA E PINTADA COM TINTA PVA A BASE D'ÁGUA NA COR AÇÚCAR CRISTAL, REF.: A204, SUVINIL OU EQUIVALENTE TÉCNICO.</v>
      </c>
      <c r="E145" s="91" t="str">
        <f>IFERROR(VLOOKUP($A145,[2]P.O.!$A:$J,5,),"")</f>
        <v>M2</v>
      </c>
      <c r="F145" s="139">
        <f>IFERROR(VLOOKUP($A145,[2]P.O.!$A:$J,6,),"")</f>
        <v>114.85</v>
      </c>
      <c r="G145" s="158">
        <f>IFERROR(VLOOKUP($A145,[2]P.O.!$A:$J,7,),"")</f>
        <v>70</v>
      </c>
      <c r="H145" s="158">
        <f>IFERROR(VLOOKUP($A145,[2]P.O.!$A:$J,8,),"")</f>
        <v>87.5</v>
      </c>
      <c r="I145" s="158">
        <f>IFERROR(VLOOKUP($A145,[2]P.O.!$A:$J,9,),"")</f>
        <v>10049.379999999999</v>
      </c>
      <c r="J145" s="159">
        <f t="shared" si="21"/>
        <v>4.7287495330718748E-3</v>
      </c>
      <c r="K145" s="145">
        <f>IFERROR(VLOOKUP($A145,[2]P.O.!$A:$J,10,),"")</f>
        <v>0.25</v>
      </c>
      <c r="L145" s="265"/>
    </row>
    <row r="146" spans="1:12" s="232" customFormat="1" ht="33">
      <c r="A146" s="76" t="s">
        <v>261</v>
      </c>
      <c r="B146" s="91" t="str">
        <f>IFERROR(VLOOKUP($A146,[2]P.O.!$A:$J,2,),"")</f>
        <v>COMPS3012</v>
      </c>
      <c r="C146" s="91" t="str">
        <f>IFERROR(VLOOKUP($A146,[2]P.O.!$A:$J,3,),"")</f>
        <v>COMPOSIÇÃO</v>
      </c>
      <c r="D146" s="78" t="str">
        <f>IFERROR(VLOOKUP($A146,[2]P.O.!$A:$J,4,),"")</f>
        <v>PAREDE EMASSADA COM MASSA ACRÍLICA E PINTADA COM TINTA ACRÍLICA NA COR FERMENTO EM PÓ, REF.: C173, SUVINIL OU EQUIVALENTE TÉCNICO.</v>
      </c>
      <c r="E146" s="91" t="str">
        <f>IFERROR(VLOOKUP($A146,[2]P.O.!$A:$J,5,),"")</f>
        <v>M2</v>
      </c>
      <c r="F146" s="139">
        <f>IFERROR(VLOOKUP($A146,[2]P.O.!$A:$J,6,),"")</f>
        <v>22.68</v>
      </c>
      <c r="G146" s="158">
        <f>IFERROR(VLOOKUP($A146,[2]P.O.!$A:$J,7,),"")</f>
        <v>19.07</v>
      </c>
      <c r="H146" s="158">
        <f>IFERROR(VLOOKUP($A146,[2]P.O.!$A:$J,8,),"")</f>
        <v>23.84</v>
      </c>
      <c r="I146" s="158">
        <f>IFERROR(VLOOKUP($A146,[2]P.O.!$A:$J,9,),"")</f>
        <v>540.69000000000005</v>
      </c>
      <c r="J146" s="159">
        <f t="shared" si="21"/>
        <v>2.5442242059078591E-4</v>
      </c>
      <c r="K146" s="145">
        <f>IFERROR(VLOOKUP($A146,[2]P.O.!$A:$J,10,),"")</f>
        <v>0.25</v>
      </c>
      <c r="L146" s="265"/>
    </row>
    <row r="147" spans="1:12" s="235" customFormat="1" ht="66">
      <c r="A147" s="76" t="s">
        <v>262</v>
      </c>
      <c r="B147" s="91" t="str">
        <f>IFERROR(VLOOKUP($A147,[2]P.O.!$A:$J,2,),"")</f>
        <v>COMPS3002</v>
      </c>
      <c r="C147" s="91" t="str">
        <f>IFERROR(VLOOKUP($A147,[2]P.O.!$A:$J,3,),"")</f>
        <v>COMPOSIÇÃO</v>
      </c>
      <c r="D147" s="78" t="str">
        <f>IFERROR(VLOOKUP($A147,[2]P.O.!$A:$J,4,),"")</f>
        <v>FORNECIMENTO E APLICAÇÃO DE REVESTIMENTO EM CERÂMICA LINHA SOFT TEXTIL BRANCO AC, 30X40CM, ELIANE OU EQUIVALENTE TÉCNICO, ASSENTADO COM ARGAMASSA COLANTE DE USO INTERNO AC I E REJUNTE FLEXÍVEL COR PLATINA E=2MM, SOLOSSANTINI OU EQUIVALENTE TÉCNICO.</v>
      </c>
      <c r="E147" s="91" t="str">
        <f>IFERROR(VLOOKUP($A147,[2]P.O.!$A:$J,5,),"")</f>
        <v>M2</v>
      </c>
      <c r="F147" s="139">
        <f>IFERROR(VLOOKUP($A147,[2]P.O.!$A:$J,6,),"")</f>
        <v>146.55000000000001</v>
      </c>
      <c r="G147" s="158">
        <f>IFERROR(VLOOKUP($A147,[2]P.O.!$A:$J,7,),"")</f>
        <v>32.790000000000006</v>
      </c>
      <c r="H147" s="158">
        <f>IFERROR(VLOOKUP($A147,[2]P.O.!$A:$J,8,),"")</f>
        <v>40.99</v>
      </c>
      <c r="I147" s="158">
        <f>IFERROR(VLOOKUP($A147,[2]P.O.!$A:$J,9,),"")</f>
        <v>6007.08</v>
      </c>
      <c r="J147" s="159">
        <f t="shared" si="21"/>
        <v>2.8266397275379575E-3</v>
      </c>
      <c r="K147" s="145">
        <f>IFERROR(VLOOKUP($A147,[2]P.O.!$A:$J,10,),"")</f>
        <v>0.25</v>
      </c>
      <c r="L147" s="265"/>
    </row>
    <row r="148" spans="1:12" s="232" customFormat="1" ht="66">
      <c r="A148" s="76" t="s">
        <v>263</v>
      </c>
      <c r="B148" s="91" t="str">
        <f>IFERROR(VLOOKUP($A148,[2]P.O.!$A:$J,2,),"")</f>
        <v>COMPS3007</v>
      </c>
      <c r="C148" s="91" t="str">
        <f>IFERROR(VLOOKUP($A148,[2]P.O.!$A:$J,3,),"")</f>
        <v>COMPOSIÇÃO</v>
      </c>
      <c r="D148" s="78" t="str">
        <f>IFERROR(VLOOKUP($A148,[2]P.O.!$A:$J,4,),"")</f>
        <v>FORNECIMENTO E APLICAÇÃO DE REVESTIMENTO PARA PISO OU PAREDE EM CERÂMICA CRISTAL BRANCO 10X10CM, ELIZABETH OU EQUIVALENTE TÉCNICO, ASSENTADO COM ARGAMASSA COLANTE DE USO INTERNO AC I E REJUNTE FLEXÍVEL COR PLATINA E=3MM, QUARTZOLIT OU EQUIVALENTE TÉCNICO.</v>
      </c>
      <c r="E148" s="91" t="str">
        <f>IFERROR(VLOOKUP($A148,[2]P.O.!$A:$J,5,),"")</f>
        <v>M2</v>
      </c>
      <c r="F148" s="139">
        <f>IFERROR(VLOOKUP($A148,[2]P.O.!$A:$J,6,),"")</f>
        <v>5.26</v>
      </c>
      <c r="G148" s="158">
        <f>IFERROR(VLOOKUP($A148,[2]P.O.!$A:$J,7,),"")</f>
        <v>46.599999999999994</v>
      </c>
      <c r="H148" s="158">
        <f>IFERROR(VLOOKUP($A148,[2]P.O.!$A:$J,8,),"")</f>
        <v>58.25</v>
      </c>
      <c r="I148" s="158">
        <f>IFERROR(VLOOKUP($A148,[2]P.O.!$A:$J,9,),"")</f>
        <v>306.39999999999998</v>
      </c>
      <c r="J148" s="159">
        <f t="shared" si="21"/>
        <v>1.4417693996378108E-4</v>
      </c>
      <c r="K148" s="145">
        <f>IFERROR(VLOOKUP($A148,[2]P.O.!$A:$J,10,),"")</f>
        <v>0.25</v>
      </c>
      <c r="L148" s="265"/>
    </row>
    <row r="149" spans="1:12" s="232" customFormat="1">
      <c r="A149" s="76"/>
      <c r="B149" s="91"/>
      <c r="C149" s="91"/>
      <c r="D149" s="78"/>
      <c r="E149" s="91"/>
      <c r="F149" s="139"/>
      <c r="G149" s="158"/>
      <c r="H149" s="158"/>
      <c r="I149" s="158"/>
      <c r="J149" s="159"/>
      <c r="K149" s="141"/>
    </row>
    <row r="150" spans="1:12" s="235" customFormat="1">
      <c r="A150" s="101" t="s">
        <v>264</v>
      </c>
      <c r="B150" s="102"/>
      <c r="C150" s="102"/>
      <c r="D150" s="103" t="str">
        <f>IFERROR(VLOOKUP($A150,[2]P.O.!$A:$J,4,),"")</f>
        <v>TETO</v>
      </c>
      <c r="E150" s="102"/>
      <c r="F150" s="169"/>
      <c r="G150" s="170"/>
      <c r="H150" s="170"/>
      <c r="I150" s="170"/>
      <c r="J150" s="171"/>
      <c r="K150" s="246"/>
    </row>
    <row r="151" spans="1:12" s="232" customFormat="1">
      <c r="A151" s="76"/>
      <c r="B151" s="91"/>
      <c r="C151" s="91"/>
      <c r="D151" s="78"/>
      <c r="E151" s="91"/>
      <c r="F151" s="139"/>
      <c r="G151" s="158"/>
      <c r="H151" s="158"/>
      <c r="I151" s="158"/>
      <c r="J151" s="159"/>
      <c r="K151" s="141"/>
    </row>
    <row r="152" spans="1:12" s="235" customFormat="1">
      <c r="A152" s="95" t="s">
        <v>265</v>
      </c>
      <c r="B152" s="96"/>
      <c r="C152" s="96"/>
      <c r="D152" s="97" t="str">
        <f>IFERROR(VLOOKUP($A152,[2]P.O.!$A:$J,4,),"")</f>
        <v xml:space="preserve">FORRO </v>
      </c>
      <c r="E152" s="96"/>
      <c r="F152" s="163"/>
      <c r="G152" s="164"/>
      <c r="H152" s="164"/>
      <c r="I152" s="164"/>
      <c r="J152" s="165"/>
      <c r="K152" s="181"/>
    </row>
    <row r="153" spans="1:12" s="232" customFormat="1">
      <c r="A153" s="76" t="s">
        <v>266</v>
      </c>
      <c r="B153" s="91" t="str">
        <f>IFERROR(VLOOKUP($A153,[2]P.O.!$A:$J,2,),"")</f>
        <v>COMPS3013</v>
      </c>
      <c r="C153" s="91" t="str">
        <f>IFERROR(VLOOKUP($A153,[2]P.O.!$A:$J,3,),"")</f>
        <v>COMPOSIÇÃO</v>
      </c>
      <c r="D153" s="78" t="str">
        <f>IFERROR(VLOOKUP($A153,[2]P.O.!$A:$J,4,),"")</f>
        <v>REVISÃO, LIMPEZA E RECOMPOSIÇÃO DE FORRO EM MADEIRA EXISTENTE.</v>
      </c>
      <c r="E153" s="91" t="str">
        <f>IFERROR(VLOOKUP($A153,[2]P.O.!$A:$J,5,),"")</f>
        <v>M2</v>
      </c>
      <c r="F153" s="139">
        <f>IFERROR(VLOOKUP($A153,[2]P.O.!$A:$J,6,),"")</f>
        <v>24.67</v>
      </c>
      <c r="G153" s="158">
        <f>IFERROR(VLOOKUP($A153,[2]P.O.!$A:$J,7,),"")</f>
        <v>52.47</v>
      </c>
      <c r="H153" s="158">
        <f>IFERROR(VLOOKUP($A153,[2]P.O.!$A:$J,8,),"")</f>
        <v>65.59</v>
      </c>
      <c r="I153" s="158">
        <f>IFERROR(VLOOKUP($A153,[2]P.O.!$A:$J,9,),"")</f>
        <v>1618.11</v>
      </c>
      <c r="J153" s="159">
        <f t="shared" ref="J153:J154" si="22">IF(I153="","",I153/$E$777)</f>
        <v>7.614038783446273E-4</v>
      </c>
      <c r="K153" s="145">
        <f>IFERROR(VLOOKUP($A153,[2]P.O.!$A:$J,10,),"")</f>
        <v>0.25</v>
      </c>
      <c r="L153" s="265"/>
    </row>
    <row r="154" spans="1:12" s="232" customFormat="1" ht="49.5">
      <c r="A154" s="76" t="s">
        <v>267</v>
      </c>
      <c r="B154" s="91" t="str">
        <f>IFERROR(VLOOKUP($A154,[2]P.O.!$A:$J,2,),"")</f>
        <v>COMPS3014</v>
      </c>
      <c r="C154" s="91" t="str">
        <f>IFERROR(VLOOKUP($A154,[2]P.O.!$A:$J,3,),"")</f>
        <v>COMPOSIÇÃO</v>
      </c>
      <c r="D154" s="78" t="str">
        <f>IFERROR(VLOOKUP($A154,[2]P.O.!$A:$J,4,),"")</f>
        <v>FORNECIMENTO E ASSENTAMENTO DE FORRO DE MADEIRA, TIPO IPÊ OU EQUIVALENTE TÉCNICO, COM TÁBUAS 10X01CM COM ENCAIXE MACHO/FÊMEA, LISO, SEM NÓS E SEM BRANCO COM ACABAMENTO EM STAIN.</v>
      </c>
      <c r="E154" s="91" t="str">
        <f>IFERROR(VLOOKUP($A154,[2]P.O.!$A:$J,5,),"")</f>
        <v>M2</v>
      </c>
      <c r="F154" s="139">
        <f>IFERROR(VLOOKUP($A154,[2]P.O.!$A:$J,6,),"")</f>
        <v>298.22000000000003</v>
      </c>
      <c r="G154" s="158">
        <f>IFERROR(VLOOKUP($A154,[2]P.O.!$A:$J,7,),"")</f>
        <v>144.13</v>
      </c>
      <c r="H154" s="158">
        <f>IFERROR(VLOOKUP($A154,[2]P.O.!$A:$J,8,),"")</f>
        <v>180.16</v>
      </c>
      <c r="I154" s="158">
        <f>IFERROR(VLOOKUP($A154,[2]P.O.!$A:$J,9,),"")</f>
        <v>53727.32</v>
      </c>
      <c r="J154" s="159">
        <f t="shared" si="22"/>
        <v>2.5281464066758668E-2</v>
      </c>
      <c r="K154" s="145">
        <f>IFERROR(VLOOKUP($A154,[2]P.O.!$A:$J,10,),"")</f>
        <v>0.25</v>
      </c>
      <c r="L154" s="265"/>
    </row>
    <row r="155" spans="1:12" s="232" customFormat="1">
      <c r="A155" s="76"/>
      <c r="B155" s="91"/>
      <c r="C155" s="91"/>
      <c r="D155" s="78"/>
      <c r="E155" s="91"/>
      <c r="F155" s="139"/>
      <c r="G155" s="158"/>
      <c r="H155" s="158"/>
      <c r="I155" s="158"/>
      <c r="J155" s="159"/>
      <c r="K155" s="141"/>
    </row>
    <row r="156" spans="1:12" s="235" customFormat="1">
      <c r="A156" s="95" t="s">
        <v>268</v>
      </c>
      <c r="B156" s="96"/>
      <c r="C156" s="96"/>
      <c r="D156" s="97" t="str">
        <f>IFERROR(VLOOKUP($A156,[2]P.O.!$A:$J,4,),"")</f>
        <v>COBERTA</v>
      </c>
      <c r="E156" s="96"/>
      <c r="F156" s="163"/>
      <c r="G156" s="164"/>
      <c r="H156" s="164"/>
      <c r="I156" s="164"/>
      <c r="J156" s="165"/>
      <c r="K156" s="181"/>
    </row>
    <row r="157" spans="1:12" s="232" customFormat="1" ht="33">
      <c r="A157" s="76" t="s">
        <v>269</v>
      </c>
      <c r="B157" s="91" t="str">
        <f>IFERROR(VLOOKUP($A157,[2]P.O.!$A:$J,2,),"")</f>
        <v>COMPS3015</v>
      </c>
      <c r="C157" s="91" t="str">
        <f>IFERROR(VLOOKUP($A157,[2]P.O.!$A:$J,3,),"")</f>
        <v>COMPOSIÇÃO</v>
      </c>
      <c r="D157" s="78" t="str">
        <f>IFERROR(VLOOKUP($A157,[2]P.O.!$A:$J,4,),"")</f>
        <v>EMASSA MENTO E PINTURA DE TETO EMASSADO COM MASSA ACRÍLICA E PINTADO COM TINTA ACRÍLICA NA COR BRANCO NEVE, SUVINIL OU EQUIVALENTE TÉCNICO.</v>
      </c>
      <c r="E157" s="91" t="str">
        <f>IFERROR(VLOOKUP($A157,[2]P.O.!$A:$J,5,),"")</f>
        <v>M2</v>
      </c>
      <c r="F157" s="139">
        <f>IFERROR(VLOOKUP($A157,[2]P.O.!$A:$J,6,),"")</f>
        <v>96.07</v>
      </c>
      <c r="G157" s="158">
        <f>IFERROR(VLOOKUP($A157,[2]P.O.!$A:$J,7,),"")</f>
        <v>19.68</v>
      </c>
      <c r="H157" s="158">
        <f>IFERROR(VLOOKUP($A157,[2]P.O.!$A:$J,8,),"")</f>
        <v>24.6</v>
      </c>
      <c r="I157" s="158">
        <f>IFERROR(VLOOKUP($A157,[2]P.O.!$A:$J,9,),"")</f>
        <v>2363.3200000000002</v>
      </c>
      <c r="J157" s="159">
        <f t="shared" ref="J157:J166" si="23">IF(I157="","",I157/$E$777)</f>
        <v>1.1120634652584959E-3</v>
      </c>
      <c r="K157" s="145">
        <f>IFERROR(VLOOKUP($A157,[2]P.O.!$A:$J,10,),"")</f>
        <v>0.25</v>
      </c>
      <c r="L157" s="265"/>
    </row>
    <row r="158" spans="1:12" s="232" customFormat="1" ht="33">
      <c r="A158" s="76" t="s">
        <v>270</v>
      </c>
      <c r="B158" s="91" t="str">
        <f>IFERROR(VLOOKUP($A158,[2]P.O.!$A:$J,2,),"")</f>
        <v>COMPS3016</v>
      </c>
      <c r="C158" s="91" t="str">
        <f>IFERROR(VLOOKUP($A158,[2]P.O.!$A:$J,3,),"")</f>
        <v>COMPOSIÇÃO</v>
      </c>
      <c r="D158" s="78" t="str">
        <f>IFERROR(VLOOKUP($A158,[2]P.O.!$A:$J,4,),"")</f>
        <v>REVISÃO, LIMPEZA E RECOMPOSIÇÃO, SE NECESSÁRIO, DE ESTRUTURA METÁLICA PARA COBERTURA.</v>
      </c>
      <c r="E158" s="91" t="str">
        <f>IFERROR(VLOOKUP($A158,[2]P.O.!$A:$J,5,),"")</f>
        <v>M2</v>
      </c>
      <c r="F158" s="139">
        <f>IFERROR(VLOOKUP($A158,[2]P.O.!$A:$J,6,),"")</f>
        <v>199.28</v>
      </c>
      <c r="G158" s="158">
        <f>IFERROR(VLOOKUP($A158,[2]P.O.!$A:$J,7,),"")</f>
        <v>40.06</v>
      </c>
      <c r="H158" s="158">
        <f>IFERROR(VLOOKUP($A158,[2]P.O.!$A:$J,8,),"")</f>
        <v>50.08</v>
      </c>
      <c r="I158" s="158">
        <f>IFERROR(VLOOKUP($A158,[2]P.O.!$A:$J,9,),"")</f>
        <v>9979.94</v>
      </c>
      <c r="J158" s="159">
        <f t="shared" si="23"/>
        <v>4.6960744458947046E-3</v>
      </c>
      <c r="K158" s="145">
        <f>IFERROR(VLOOKUP($A158,[2]P.O.!$A:$J,10,),"")</f>
        <v>0.25</v>
      </c>
      <c r="L158" s="265"/>
    </row>
    <row r="159" spans="1:12" s="232" customFormat="1" ht="33">
      <c r="A159" s="76" t="s">
        <v>271</v>
      </c>
      <c r="B159" s="91" t="str">
        <f>IFERROR(VLOOKUP($A159,[2]P.O.!$A:$J,2,),"")</f>
        <v>73938/001</v>
      </c>
      <c r="C159" s="91" t="str">
        <f>IFERROR(VLOOKUP($A159,[2]P.O.!$A:$J,3,),"")</f>
        <v>SINAPI SERVIÇO</v>
      </c>
      <c r="D159" s="78" t="str">
        <f>IFERROR(VLOOKUP($A159,[2]P.O.!$A:$J,4,),"")</f>
        <v>COBERTURA EM TELHA CERAMICA TIPO COLONIAL, COM ARGAMASSA TRACO 1:3 (CI   MENTO E AREIA)</v>
      </c>
      <c r="E159" s="91" t="str">
        <f>IFERROR(VLOOKUP($A159,[2]P.O.!$A:$J,5,),"")</f>
        <v>M2</v>
      </c>
      <c r="F159" s="139">
        <f>IFERROR(VLOOKUP($A159,[2]P.O.!$A:$J,6,),"")</f>
        <v>199.28</v>
      </c>
      <c r="G159" s="158">
        <f>IFERROR(VLOOKUP($A159,[2]P.O.!$A:$J,7,),"")</f>
        <v>69.8</v>
      </c>
      <c r="H159" s="158">
        <f>IFERROR(VLOOKUP($A159,[2]P.O.!$A:$J,8,),"")</f>
        <v>87.25</v>
      </c>
      <c r="I159" s="158">
        <f>IFERROR(VLOOKUP($A159,[2]P.O.!$A:$J,9,),"")</f>
        <v>17387.18</v>
      </c>
      <c r="J159" s="159">
        <f t="shared" si="23"/>
        <v>8.1815613805465252E-3</v>
      </c>
      <c r="K159" s="145">
        <f>IFERROR(VLOOKUP($A159,[2]P.O.!$A:$J,10,),"")</f>
        <v>0.25</v>
      </c>
      <c r="L159" s="265"/>
    </row>
    <row r="160" spans="1:12" s="235" customFormat="1" ht="33">
      <c r="A160" s="76" t="s">
        <v>272</v>
      </c>
      <c r="B160" s="91">
        <f>IFERROR(VLOOKUP($A160,[2]P.O.!$A:$J,2,),"")</f>
        <v>83737</v>
      </c>
      <c r="C160" s="91" t="str">
        <f>IFERROR(VLOOKUP($A160,[2]P.O.!$A:$J,3,),"")</f>
        <v>SINAPI SERVIÇO</v>
      </c>
      <c r="D160" s="78" t="str">
        <f>IFERROR(VLOOKUP($A160,[2]P.O.!$A:$J,4,),"")</f>
        <v>IMPERMEABILIZACAO DE SUPERFICIE COM MANTA ASFALTICA (COM POLIMEROS TIP   O APP), E=3 MM</v>
      </c>
      <c r="E160" s="91" t="str">
        <f>IFERROR(VLOOKUP($A160,[2]P.O.!$A:$J,5,),"")</f>
        <v>M2</v>
      </c>
      <c r="F160" s="139">
        <f>IFERROR(VLOOKUP($A160,[2]P.O.!$A:$J,6,),"")</f>
        <v>60</v>
      </c>
      <c r="G160" s="158">
        <f>IFERROR(VLOOKUP($A160,[2]P.O.!$A:$J,7,),"")</f>
        <v>57.31</v>
      </c>
      <c r="H160" s="158">
        <f>IFERROR(VLOOKUP($A160,[2]P.O.!$A:$J,8,),"")</f>
        <v>71.64</v>
      </c>
      <c r="I160" s="158">
        <f>IFERROR(VLOOKUP($A160,[2]P.O.!$A:$J,9,),"")</f>
        <v>4298.3999999999996</v>
      </c>
      <c r="J160" s="159">
        <f t="shared" si="23"/>
        <v>2.022618011554558E-3</v>
      </c>
      <c r="K160" s="145">
        <f>IFERROR(VLOOKUP($A160,[2]P.O.!$A:$J,10,),"")</f>
        <v>0.25</v>
      </c>
      <c r="L160" s="265"/>
    </row>
    <row r="161" spans="1:12" s="232" customFormat="1" ht="33">
      <c r="A161" s="76" t="s">
        <v>273</v>
      </c>
      <c r="B161" s="91" t="str">
        <f>IFERROR(VLOOKUP($A161,[2]P.O.!$A:$J,2,),"")</f>
        <v>COMPS3088</v>
      </c>
      <c r="C161" s="91" t="str">
        <f>IFERROR(VLOOKUP($A161,[2]P.O.!$A:$J,3,),"")</f>
        <v>COMPOSIÇÃO</v>
      </c>
      <c r="D161" s="78" t="str">
        <f>IFERROR(VLOOKUP($A161,[2]P.O.!$A:$J,4,),"")</f>
        <v>RECONSOLIDAÇÃO DE REBOCO DESCOLADO (COM ARGAMASSA DE CAL E AREIA COM 5% DE CIMENTO NO TRAÇO DE 1:3 SEM APLICAÇÃO DE CHAPISCO)</v>
      </c>
      <c r="E161" s="91" t="str">
        <f>IFERROR(VLOOKUP($A161,[2]P.O.!$A:$J,5,),"")</f>
        <v>M2</v>
      </c>
      <c r="F161" s="139">
        <f>IFERROR(VLOOKUP($A161,[2]P.O.!$A:$J,6,),"")</f>
        <v>112.04</v>
      </c>
      <c r="G161" s="158">
        <f>IFERROR(VLOOKUP($A161,[2]P.O.!$A:$J,7,),"")</f>
        <v>15</v>
      </c>
      <c r="H161" s="158">
        <f>IFERROR(VLOOKUP($A161,[2]P.O.!$A:$J,8,),"")</f>
        <v>18.75</v>
      </c>
      <c r="I161" s="158">
        <f>IFERROR(VLOOKUP($A161,[2]P.O.!$A:$J,9,),"")</f>
        <v>2100.75</v>
      </c>
      <c r="J161" s="159">
        <f t="shared" si="23"/>
        <v>9.8851079186982097E-4</v>
      </c>
      <c r="K161" s="145">
        <f>IFERROR(VLOOKUP($A161,[2]P.O.!$A:$J,10,),"")</f>
        <v>0.25</v>
      </c>
      <c r="L161" s="265"/>
    </row>
    <row r="162" spans="1:12" s="235" customFormat="1">
      <c r="A162" s="76" t="s">
        <v>274</v>
      </c>
      <c r="B162" s="91" t="str">
        <f>IFERROR(VLOOKUP($A162,[2]P.O.!$A:$J,2,),"")</f>
        <v>COMPS3098</v>
      </c>
      <c r="C162" s="91" t="str">
        <f>IFERROR(VLOOKUP($A162,[2]P.O.!$A:$J,3,),"")</f>
        <v>COMPOSIÇÃO</v>
      </c>
      <c r="D162" s="78" t="str">
        <f>IFERROR(VLOOKUP($A162,[2]P.O.!$A:$J,4,),"")</f>
        <v>FORNECIMENTO E COLOCAÇÃO DE TELA DE CHAPA EXPANDIDA PARA ESTUQUE TIPO STANDARD</v>
      </c>
      <c r="E162" s="91" t="str">
        <f>IFERROR(VLOOKUP($A162,[2]P.O.!$A:$J,5,),"")</f>
        <v>M2</v>
      </c>
      <c r="F162" s="139">
        <f>IFERROR(VLOOKUP($A162,[2]P.O.!$A:$J,6,),"")</f>
        <v>60</v>
      </c>
      <c r="G162" s="158">
        <f>IFERROR(VLOOKUP($A162,[2]P.O.!$A:$J,7,),"")</f>
        <v>4.41</v>
      </c>
      <c r="H162" s="158">
        <f>IFERROR(VLOOKUP($A162,[2]P.O.!$A:$J,8,),"")</f>
        <v>5.51</v>
      </c>
      <c r="I162" s="158">
        <f>IFERROR(VLOOKUP($A162,[2]P.O.!$A:$J,9,),"")</f>
        <v>330.6</v>
      </c>
      <c r="J162" s="159">
        <f t="shared" si="23"/>
        <v>1.5556428313324424E-4</v>
      </c>
      <c r="K162" s="145">
        <f>IFERROR(VLOOKUP($A162,[2]P.O.!$A:$J,10,),"")</f>
        <v>0.25</v>
      </c>
      <c r="L162" s="265"/>
    </row>
    <row r="163" spans="1:12" s="232" customFormat="1">
      <c r="A163" s="76" t="s">
        <v>275</v>
      </c>
      <c r="B163" s="91" t="str">
        <f>IFERROR(VLOOKUP($A163,[2]P.O.!$A:$J,2,),"")</f>
        <v>COMPS3099</v>
      </c>
      <c r="C163" s="91" t="str">
        <f>IFERROR(VLOOKUP($A163,[2]P.O.!$A:$J,3,),"")</f>
        <v>COMPOSIÇÃO</v>
      </c>
      <c r="D163" s="78" t="str">
        <f>IFERROR(VLOOKUP($A163,[2]P.O.!$A:$J,4,),"")</f>
        <v xml:space="preserve">FORNECIMENTO E COLOCAÇÃO DE CAIBRO DE MADEIRA IPE APARELHADA 2 1/2" x 1 1/2" </v>
      </c>
      <c r="E163" s="91" t="str">
        <f>IFERROR(VLOOKUP($A163,[2]P.O.!$A:$J,5,),"")</f>
        <v>M</v>
      </c>
      <c r="F163" s="139">
        <f>IFERROR(VLOOKUP($A163,[2]P.O.!$A:$J,6,),"")</f>
        <v>461.86</v>
      </c>
      <c r="G163" s="158">
        <f>IFERROR(VLOOKUP($A163,[2]P.O.!$A:$J,7,),"")</f>
        <v>12.19</v>
      </c>
      <c r="H163" s="158">
        <f>IFERROR(VLOOKUP($A163,[2]P.O.!$A:$J,8,),"")</f>
        <v>15.24</v>
      </c>
      <c r="I163" s="158">
        <f>IFERROR(VLOOKUP($A163,[2]P.O.!$A:$J,9,),"")</f>
        <v>7038.75</v>
      </c>
      <c r="J163" s="159">
        <f t="shared" si="23"/>
        <v>3.3120934600850659E-3</v>
      </c>
      <c r="K163" s="145">
        <f>IFERROR(VLOOKUP($A163,[2]P.O.!$A:$J,10,),"")</f>
        <v>0.25</v>
      </c>
      <c r="L163" s="265"/>
    </row>
    <row r="164" spans="1:12" s="232" customFormat="1">
      <c r="A164" s="76" t="s">
        <v>276</v>
      </c>
      <c r="B164" s="91" t="str">
        <f>IFERROR(VLOOKUP($A164,[2]P.O.!$A:$J,2,),"")</f>
        <v>COMPS3100</v>
      </c>
      <c r="C164" s="91" t="str">
        <f>IFERROR(VLOOKUP($A164,[2]P.O.!$A:$J,3,),"")</f>
        <v>COMPOSIÇÃO</v>
      </c>
      <c r="D164" s="78" t="str">
        <f>IFERROR(VLOOKUP($A164,[2]P.O.!$A:$J,4,),"")</f>
        <v>FORNECIMENTO E COLOCAÇÃO DE RIPA DE MADEIRA IPE APARELHADA 1CM x 5CM</v>
      </c>
      <c r="E164" s="91" t="str">
        <f>IFERROR(VLOOKUP($A164,[2]P.O.!$A:$J,5,),"")</f>
        <v>M</v>
      </c>
      <c r="F164" s="139">
        <f>IFERROR(VLOOKUP($A164,[2]P.O.!$A:$J,6,),"")</f>
        <v>813.68</v>
      </c>
      <c r="G164" s="158">
        <f>IFERROR(VLOOKUP($A164,[2]P.O.!$A:$J,7,),"")</f>
        <v>4.1400000000000006</v>
      </c>
      <c r="H164" s="158">
        <f>IFERROR(VLOOKUP($A164,[2]P.O.!$A:$J,8,),"")</f>
        <v>5.18</v>
      </c>
      <c r="I164" s="158">
        <f>IFERROR(VLOOKUP($A164,[2]P.O.!$A:$J,9,),"")</f>
        <v>4214.8599999999997</v>
      </c>
      <c r="J164" s="159">
        <f t="shared" si="23"/>
        <v>1.9833081500513785E-3</v>
      </c>
      <c r="K164" s="145">
        <f>IFERROR(VLOOKUP($A164,[2]P.O.!$A:$J,10,),"")</f>
        <v>0.25</v>
      </c>
      <c r="L164" s="265"/>
    </row>
    <row r="165" spans="1:12" s="232" customFormat="1" ht="33">
      <c r="A165" s="76" t="s">
        <v>277</v>
      </c>
      <c r="B165" s="91" t="str">
        <f>IFERROR(VLOOKUP($A165,[2]P.O.!$A:$J,2,),"")</f>
        <v>COMPS3096</v>
      </c>
      <c r="C165" s="91" t="str">
        <f>IFERROR(VLOOKUP($A165,[2]P.O.!$A:$J,3,),"")</f>
        <v>COMPOSIÇÃO</v>
      </c>
      <c r="D165" s="78" t="str">
        <f>IFERROR(VLOOKUP($A165,[2]P.O.!$A:$J,4,),"")</f>
        <v>RECONSOLIDAÇÃO DE REBOCO DESCOLADO COM EXPOSIÇÃO DE FERRAGEM - PLATIBANDA (COM ARGAMASSA NO TRAÇO DE 1:4)</v>
      </c>
      <c r="E165" s="91" t="str">
        <f>IFERROR(VLOOKUP($A165,[2]P.O.!$A:$J,5,),"")</f>
        <v>M2</v>
      </c>
      <c r="F165" s="139">
        <f>IFERROR(VLOOKUP($A165,[2]P.O.!$A:$J,6,),"")</f>
        <v>7.45</v>
      </c>
      <c r="G165" s="158">
        <f>IFERROR(VLOOKUP($A165,[2]P.O.!$A:$J,7,),"")</f>
        <v>23.17</v>
      </c>
      <c r="H165" s="158">
        <f>IFERROR(VLOOKUP($A165,[2]P.O.!$A:$J,8,),"")</f>
        <v>28.96</v>
      </c>
      <c r="I165" s="158">
        <f>IFERROR(VLOOKUP($A165,[2]P.O.!$A:$J,9,),"")</f>
        <v>215.75</v>
      </c>
      <c r="J165" s="159">
        <f t="shared" si="23"/>
        <v>1.0152145821535827E-4</v>
      </c>
      <c r="K165" s="145">
        <f>IFERROR(VLOOKUP($A165,[2]P.O.!$A:$J,10,),"")</f>
        <v>0.25</v>
      </c>
      <c r="L165" s="265"/>
    </row>
    <row r="166" spans="1:12" s="235" customFormat="1" ht="49.5">
      <c r="A166" s="76" t="s">
        <v>278</v>
      </c>
      <c r="B166" s="91" t="str">
        <f>IFERROR(VLOOKUP($A166,[2]P.O.!$A:$J,2,),"")</f>
        <v>COMPS3019</v>
      </c>
      <c r="C166" s="91" t="str">
        <f>IFERROR(VLOOKUP($A166,[2]P.O.!$A:$J,3,),"")</f>
        <v>COMPOSIÇÃO</v>
      </c>
      <c r="D166" s="78" t="str">
        <f>IFERROR(VLOOKUP($A166,[2]P.O.!$A:$J,4,),"")</f>
        <v>EXECUÇÃO DE IMPERMEABILIZAÇÃO EM LAJE DE CONCRETO PLANA, COM MANTA IMPERMEABILIZANTE TIPO ASFÁLTICA, REBOCADA COM ARGAMASSA NO TRAÇO 1:4, COM ADITIVO IMPERMEABILIZANTE SIKA 1 NAS PROPORÇÕES INDICADAS PELO FABRICANTE.</v>
      </c>
      <c r="E166" s="91" t="str">
        <f>IFERROR(VLOOKUP($A166,[2]P.O.!$A:$J,5,),"")</f>
        <v>M2</v>
      </c>
      <c r="F166" s="139">
        <f>IFERROR(VLOOKUP($A166,[2]P.O.!$A:$J,6,),"")</f>
        <v>99.7</v>
      </c>
      <c r="G166" s="158">
        <f>IFERROR(VLOOKUP($A166,[2]P.O.!$A:$J,7,),"")</f>
        <v>75</v>
      </c>
      <c r="H166" s="158">
        <f>IFERROR(VLOOKUP($A166,[2]P.O.!$A:$J,8,),"")</f>
        <v>93.75</v>
      </c>
      <c r="I166" s="158">
        <f>IFERROR(VLOOKUP($A166,[2]P.O.!$A:$J,9,),"")</f>
        <v>9346.8799999999992</v>
      </c>
      <c r="J166" s="159">
        <f t="shared" si="23"/>
        <v>4.3981871951979962E-3</v>
      </c>
      <c r="K166" s="145">
        <f>IFERROR(VLOOKUP($A166,[2]P.O.!$A:$J,10,),"")</f>
        <v>0.25</v>
      </c>
      <c r="L166" s="265"/>
    </row>
    <row r="167" spans="1:12" s="232" customFormat="1">
      <c r="A167" s="76"/>
      <c r="B167" s="91"/>
      <c r="C167" s="91"/>
      <c r="D167" s="78"/>
      <c r="E167" s="91"/>
      <c r="F167" s="139"/>
      <c r="G167" s="158"/>
      <c r="H167" s="158"/>
      <c r="I167" s="158"/>
      <c r="J167" s="159"/>
      <c r="K167" s="141"/>
    </row>
    <row r="168" spans="1:12" s="235" customFormat="1">
      <c r="A168" s="101" t="s">
        <v>279</v>
      </c>
      <c r="B168" s="102"/>
      <c r="C168" s="102"/>
      <c r="D168" s="103" t="str">
        <f>IFERROR(VLOOKUP($A168,[2]P.O.!$A:$J,4,),"")</f>
        <v>LOUÇAS SANITÁRIAS</v>
      </c>
      <c r="E168" s="102"/>
      <c r="F168" s="169"/>
      <c r="G168" s="170"/>
      <c r="H168" s="170"/>
      <c r="I168" s="170"/>
      <c r="J168" s="171"/>
      <c r="K168" s="246"/>
    </row>
    <row r="169" spans="1:12" s="232" customFormat="1">
      <c r="A169" s="76"/>
      <c r="B169" s="91"/>
      <c r="C169" s="91"/>
      <c r="D169" s="78"/>
      <c r="E169" s="91"/>
      <c r="F169" s="139"/>
      <c r="G169" s="158"/>
      <c r="H169" s="158"/>
      <c r="I169" s="158"/>
      <c r="J169" s="159"/>
      <c r="K169" s="141"/>
    </row>
    <row r="170" spans="1:12" s="232" customFormat="1" ht="82.5">
      <c r="A170" s="76" t="s">
        <v>280</v>
      </c>
      <c r="B170" s="91" t="str">
        <f>IFERROR(VLOOKUP($A170,[2]P.O.!$A:$J,2,),"")</f>
        <v>COMPS27001</v>
      </c>
      <c r="C170" s="91" t="str">
        <f>IFERROR(VLOOKUP($A170,[2]P.O.!$A:$J,3,),"")</f>
        <v>COMPOSIÇÃO</v>
      </c>
      <c r="D170" s="78" t="str">
        <f>IFERROR(VLOOKUP($A170,[2]P.O.!$A:$J,4,),"")</f>
        <v>FORNECIMENTO E INSTALAÇÃO DE BACIA SANITÁRIA COM CAIXA ACOPLADA, LINHA RAVENA REF.: P.909, NA COR BRANCA, ACIONAMENTO DUAL FLUX, DECA OU EQUIVALENTE TÉCNICO, COM ASSENTO POLIÉSTER COD.: AP.01 NA COR BRANCA, DECA OU EQUIVALENTE TÉCNICO. COM ENGATE FLEXÍVEL EM PLÁSTICO BRANCO 1/2" x 30cm, E ACESSÓRIOS ESPECÍFICOS PARA A INSTALAÇÃO DESTA BACIA.</v>
      </c>
      <c r="E170" s="91" t="str">
        <f>IFERROR(VLOOKUP($A170,[2]P.O.!$A:$J,5,),"")</f>
        <v>UND</v>
      </c>
      <c r="F170" s="139">
        <f>IFERROR(VLOOKUP($A170,[2]P.O.!$A:$J,6,),"")</f>
        <v>6</v>
      </c>
      <c r="G170" s="158">
        <f>IFERROR(VLOOKUP($A170,[2]P.O.!$A:$J,7,),"")</f>
        <v>507.53</v>
      </c>
      <c r="H170" s="158">
        <f>IFERROR(VLOOKUP($A170,[2]P.O.!$A:$J,8,),"")</f>
        <v>634.41</v>
      </c>
      <c r="I170" s="158">
        <f>IFERROR(VLOOKUP($A170,[2]P.O.!$A:$J,9,),"")</f>
        <v>3806.46</v>
      </c>
      <c r="J170" s="159">
        <f t="shared" ref="J170:J174" si="24">IF(I170="","",I170/$E$777)</f>
        <v>1.7911349702824223E-3</v>
      </c>
      <c r="K170" s="145">
        <f>IFERROR(VLOOKUP($A170,[2]P.O.!$A:$J,10,),"")</f>
        <v>0.25</v>
      </c>
      <c r="L170" s="265"/>
    </row>
    <row r="171" spans="1:12" s="232" customFormat="1" ht="66">
      <c r="A171" s="76" t="s">
        <v>281</v>
      </c>
      <c r="B171" s="91" t="str">
        <f>IFERROR(VLOOKUP($A171,[2]P.O.!$A:$J,2,),"")</f>
        <v>COMPS27002</v>
      </c>
      <c r="C171" s="91" t="str">
        <f>IFERROR(VLOOKUP($A171,[2]P.O.!$A:$J,3,),"")</f>
        <v>COMPOSIÇÃO</v>
      </c>
      <c r="D171" s="78" t="str">
        <f>IFERROR(VLOOKUP($A171,[2]P.O.!$A:$J,4,),"")</f>
        <v>FORNECIMENTO E INSTALAÇÃO DE BACIA SANITÁRIA CONVENCIONAL, LINHA IZY, SEM ABERTURA FRONTAL, REF.: P.11, DECA OU EQUIVALENTE TÉCNICO, COM ASSENTO POLIÉSTER COD.: AP.01 NA COR BRANCA, DECA OU EQUIVALENTE TÉCNICO. COM ENGATE FLEXÍVEL EM PLÁSTICO BRANCO 1/2" x 30cm, E ACESSÓRIOS ESPECÍFICOS PARA A INSTALAÇÃO DESTA BACIA.</v>
      </c>
      <c r="E171" s="91" t="str">
        <f>IFERROR(VLOOKUP($A171,[2]P.O.!$A:$J,5,),"")</f>
        <v>UND</v>
      </c>
      <c r="F171" s="139">
        <f>IFERROR(VLOOKUP($A171,[2]P.O.!$A:$J,6,),"")</f>
        <v>1</v>
      </c>
      <c r="G171" s="158">
        <f>IFERROR(VLOOKUP($A171,[2]P.O.!$A:$J,7,),"")</f>
        <v>250.14000000000004</v>
      </c>
      <c r="H171" s="158">
        <f>IFERROR(VLOOKUP($A171,[2]P.O.!$A:$J,8,),"")</f>
        <v>312.68</v>
      </c>
      <c r="I171" s="158">
        <f>IFERROR(VLOOKUP($A171,[2]P.O.!$A:$J,9,),"")</f>
        <v>312.68</v>
      </c>
      <c r="J171" s="159">
        <f t="shared" si="24"/>
        <v>1.4713200257139385E-4</v>
      </c>
      <c r="K171" s="145">
        <f>IFERROR(VLOOKUP($A171,[2]P.O.!$A:$J,10,),"")</f>
        <v>0.25</v>
      </c>
      <c r="L171" s="265"/>
    </row>
    <row r="172" spans="1:12" s="235" customFormat="1" ht="49.5">
      <c r="A172" s="76" t="s">
        <v>282</v>
      </c>
      <c r="B172" s="91" t="str">
        <f>IFERROR(VLOOKUP($A172,[2]P.O.!$A:$J,2,),"")</f>
        <v>COMPS27022</v>
      </c>
      <c r="C172" s="91" t="str">
        <f>IFERROR(VLOOKUP($A172,[2]P.O.!$A:$J,3,),"")</f>
        <v>COMPOSIÇÃO</v>
      </c>
      <c r="D172" s="78" t="str">
        <f>IFERROR(VLOOKUP($A172,[2]P.O.!$A:$J,4,),"")</f>
        <v>FORNECIMENTO E INSTALAÇÃO DE CUBA DE EMBUTIR REDONDA CÓD.: 10129, EM LOUÇA BRANCA, CELITE OU EQUIVALENTE TÉCNICO. VÁLVULA DE ESCOAMENTO SIMPLES COM ACABAMENTO CROMADO.</v>
      </c>
      <c r="E172" s="91" t="str">
        <f>IFERROR(VLOOKUP($A172,[2]P.O.!$A:$J,5,),"")</f>
        <v>UND</v>
      </c>
      <c r="F172" s="139">
        <f>IFERROR(VLOOKUP($A172,[2]P.O.!$A:$J,6,),"")</f>
        <v>4</v>
      </c>
      <c r="G172" s="158">
        <f>IFERROR(VLOOKUP($A172,[2]P.O.!$A:$J,7,),"")</f>
        <v>95.71</v>
      </c>
      <c r="H172" s="158">
        <f>IFERROR(VLOOKUP($A172,[2]P.O.!$A:$J,8,),"")</f>
        <v>119.64</v>
      </c>
      <c r="I172" s="158">
        <f>IFERROR(VLOOKUP($A172,[2]P.O.!$A:$J,9,),"")</f>
        <v>478.56</v>
      </c>
      <c r="J172" s="159">
        <f t="shared" si="24"/>
        <v>2.2518706393298657E-4</v>
      </c>
      <c r="K172" s="145">
        <f>IFERROR(VLOOKUP($A172,[2]P.O.!$A:$J,10,),"")</f>
        <v>0.25</v>
      </c>
      <c r="L172" s="265"/>
    </row>
    <row r="173" spans="1:12" s="232" customFormat="1" ht="49.5">
      <c r="A173" s="76" t="s">
        <v>283</v>
      </c>
      <c r="B173" s="91" t="str">
        <f>IFERROR(VLOOKUP($A173,[2]P.O.!$A:$J,2,),"")</f>
        <v>COMPS27023</v>
      </c>
      <c r="C173" s="91" t="str">
        <f>IFERROR(VLOOKUP($A173,[2]P.O.!$A:$J,3,),"")</f>
        <v>COMPOSIÇÃO</v>
      </c>
      <c r="D173" s="78" t="str">
        <f>IFERROR(VLOOKUP($A173,[2]P.O.!$A:$J,4,),"")</f>
        <v>FORNECIMENTO E INSTALAÇÃO DE LAVATÓRIO DE SEMI-ENCAIXE CÓD.: L.82, NA COR BRANCA DECA OU EQUIVALENTE TÉCNICO. VÁLVULA DE ESCOAMENTO SIMPLES COM ACABAMENTO CROMADO.</v>
      </c>
      <c r="E173" s="91" t="str">
        <f>IFERROR(VLOOKUP($A173,[2]P.O.!$A:$J,5,),"")</f>
        <v>UND</v>
      </c>
      <c r="F173" s="139">
        <f>IFERROR(VLOOKUP($A173,[2]P.O.!$A:$J,6,),"")</f>
        <v>2</v>
      </c>
      <c r="G173" s="158">
        <f>IFERROR(VLOOKUP($A173,[2]P.O.!$A:$J,7,),"")</f>
        <v>318.34999999999997</v>
      </c>
      <c r="H173" s="158">
        <f>IFERROR(VLOOKUP($A173,[2]P.O.!$A:$J,8,),"")</f>
        <v>397.94</v>
      </c>
      <c r="I173" s="158">
        <f>IFERROR(VLOOKUP($A173,[2]P.O.!$A:$J,9,),"")</f>
        <v>795.88</v>
      </c>
      <c r="J173" s="159">
        <f t="shared" si="24"/>
        <v>3.7450242486414525E-4</v>
      </c>
      <c r="K173" s="145">
        <f>IFERROR(VLOOKUP($A173,[2]P.O.!$A:$J,10,),"")</f>
        <v>0.25</v>
      </c>
      <c r="L173" s="265"/>
    </row>
    <row r="174" spans="1:12" s="232" customFormat="1" ht="49.5">
      <c r="A174" s="76" t="s">
        <v>284</v>
      </c>
      <c r="B174" s="91" t="str">
        <f>IFERROR(VLOOKUP($A174,[2]P.O.!$A:$J,2,),"")</f>
        <v>COMPS27004</v>
      </c>
      <c r="C174" s="91" t="str">
        <f>IFERROR(VLOOKUP($A174,[2]P.O.!$A:$J,3,),"")</f>
        <v>COMPOSIÇÃO</v>
      </c>
      <c r="D174" s="78" t="str">
        <f>IFERROR(VLOOKUP($A174,[2]P.O.!$A:$J,4,),"")</f>
        <v>FORNECIMENTO E INSTALAÇÃO DE LAVATÓRIO SUSPENSO DE CANTO EM LOUÇA BRANCA, CÓD.: 04014 CELITE OU EQUIVALENTE TÉCNICO, INCLUSIVE VÁLVULA DE ESCOAMENTO SIMPLES COM ACABAMENTO CROMADO E ENGATE FLEXIVEL 40CM.</v>
      </c>
      <c r="E174" s="91" t="str">
        <f>IFERROR(VLOOKUP($A174,[2]P.O.!$A:$J,5,),"")</f>
        <v>UND</v>
      </c>
      <c r="F174" s="139">
        <f>IFERROR(VLOOKUP($A174,[2]P.O.!$A:$J,6,),"")</f>
        <v>1</v>
      </c>
      <c r="G174" s="158">
        <f>IFERROR(VLOOKUP($A174,[2]P.O.!$A:$J,7,),"")</f>
        <v>158.86000000000001</v>
      </c>
      <c r="H174" s="158">
        <f>IFERROR(VLOOKUP($A174,[2]P.O.!$A:$J,8,),"")</f>
        <v>198.58</v>
      </c>
      <c r="I174" s="158">
        <f>IFERROR(VLOOKUP($A174,[2]P.O.!$A:$J,9,),"")</f>
        <v>198.58</v>
      </c>
      <c r="J174" s="159">
        <f t="shared" si="24"/>
        <v>9.3442091181487115E-5</v>
      </c>
      <c r="K174" s="145">
        <f>IFERROR(VLOOKUP($A174,[2]P.O.!$A:$J,10,),"")</f>
        <v>0.25</v>
      </c>
      <c r="L174" s="265"/>
    </row>
    <row r="175" spans="1:12" s="232" customFormat="1">
      <c r="A175" s="76"/>
      <c r="B175" s="91"/>
      <c r="C175" s="91"/>
      <c r="D175" s="78"/>
      <c r="E175" s="91"/>
      <c r="F175" s="139"/>
      <c r="G175" s="158"/>
      <c r="H175" s="158"/>
      <c r="I175" s="158"/>
      <c r="J175" s="159"/>
      <c r="K175" s="141"/>
    </row>
    <row r="176" spans="1:12" s="235" customFormat="1">
      <c r="A176" s="101" t="s">
        <v>285</v>
      </c>
      <c r="B176" s="102"/>
      <c r="C176" s="102"/>
      <c r="D176" s="103" t="str">
        <f>IFERROR(VLOOKUP($A176,[2]P.O.!$A:$J,4,),"")</f>
        <v>METAIS SANITÁRIOS</v>
      </c>
      <c r="E176" s="102"/>
      <c r="F176" s="169"/>
      <c r="G176" s="170"/>
      <c r="H176" s="170"/>
      <c r="I176" s="170"/>
      <c r="J176" s="171"/>
      <c r="K176" s="246"/>
    </row>
    <row r="177" spans="1:12" s="232" customFormat="1">
      <c r="A177" s="76"/>
      <c r="B177" s="91"/>
      <c r="C177" s="91"/>
      <c r="D177" s="78"/>
      <c r="E177" s="91"/>
      <c r="F177" s="139"/>
      <c r="G177" s="158"/>
      <c r="H177" s="158"/>
      <c r="I177" s="158"/>
      <c r="J177" s="159"/>
      <c r="K177" s="141"/>
    </row>
    <row r="178" spans="1:12" s="232" customFormat="1" ht="49.5">
      <c r="A178" s="76" t="s">
        <v>286</v>
      </c>
      <c r="B178" s="91" t="str">
        <f>IFERROR(VLOOKUP($A178,[2]P.O.!$A:$J,2,),"")</f>
        <v>COMPS27005</v>
      </c>
      <c r="C178" s="91" t="str">
        <f>IFERROR(VLOOKUP($A178,[2]P.O.!$A:$J,3,),"")</f>
        <v>COMPOSIÇÃO</v>
      </c>
      <c r="D178" s="78" t="str">
        <f>IFERROR(VLOOKUP($A178,[2]P.O.!$A:$J,4,),"")</f>
        <v>FORNECIMENTO E INSTALAÇÃO DE TANQUE DE ENCAIXE EM AÇO INOX, REF.: 94400107, ACABAMENTO ACETINADO, TRAMONTINA OU EQUIVALENTE TÉCNICO, INCLUSIVE VALVULA DE ESCOAMENTO  E ENGATE FLEXIVEL 40CM.</v>
      </c>
      <c r="E178" s="91" t="str">
        <f>IFERROR(VLOOKUP($A178,[2]P.O.!$A:$J,5,),"")</f>
        <v>UND</v>
      </c>
      <c r="F178" s="139">
        <f>IFERROR(VLOOKUP($A178,[2]P.O.!$A:$J,6,),"")</f>
        <v>1</v>
      </c>
      <c r="G178" s="158">
        <f>IFERROR(VLOOKUP($A178,[2]P.O.!$A:$J,7,),"")</f>
        <v>357.18</v>
      </c>
      <c r="H178" s="158">
        <f>IFERROR(VLOOKUP($A178,[2]P.O.!$A:$J,8,),"")</f>
        <v>446.48</v>
      </c>
      <c r="I178" s="158">
        <f>IFERROR(VLOOKUP($A178,[2]P.O.!$A:$J,9,),"")</f>
        <v>446.48</v>
      </c>
      <c r="J178" s="159">
        <f t="shared" ref="J178:J190" si="25">IF(I178="","",I178/$E$777)</f>
        <v>2.1009177596288835E-4</v>
      </c>
      <c r="K178" s="145">
        <f>IFERROR(VLOOKUP($A178,[2]P.O.!$A:$J,10,),"")</f>
        <v>0.25</v>
      </c>
      <c r="L178" s="265"/>
    </row>
    <row r="179" spans="1:12" s="232" customFormat="1" ht="49.5">
      <c r="A179" s="76" t="s">
        <v>287</v>
      </c>
      <c r="B179" s="91" t="str">
        <f>IFERROR(VLOOKUP($A179,[2]P.O.!$A:$J,2,),"")</f>
        <v>COMPS27007</v>
      </c>
      <c r="C179" s="91" t="str">
        <f>IFERROR(VLOOKUP($A179,[2]P.O.!$A:$J,3,),"")</f>
        <v>COMPOSIÇÃO</v>
      </c>
      <c r="D179" s="78" t="str">
        <f>IFERROR(VLOOKUP($A179,[2]P.O.!$A:$J,4,),"")</f>
        <v>FORNECIMENTO E INSTALAÇÃO DE CUBA PARA COZINHA EM AÇO INOX (40X34X14)CM, LINHA STANDARD, RETANGULAR BL, REF.:94081507, ACABAMENTO POLIDO, TRAMONTINA OU EQUIVALENTE TÉCNICO, INCLUSIVE VALVULA DE ESCOAMENTO  E ENGATE FLEXIVEL 40CM.</v>
      </c>
      <c r="E179" s="91" t="str">
        <f>IFERROR(VLOOKUP($A179,[2]P.O.!$A:$J,5,),"")</f>
        <v>UND</v>
      </c>
      <c r="F179" s="139">
        <f>IFERROR(VLOOKUP($A179,[2]P.O.!$A:$J,6,),"")</f>
        <v>2</v>
      </c>
      <c r="G179" s="158">
        <f>IFERROR(VLOOKUP($A179,[2]P.O.!$A:$J,7,),"")</f>
        <v>227.89</v>
      </c>
      <c r="H179" s="158">
        <f>IFERROR(VLOOKUP($A179,[2]P.O.!$A:$J,8,),"")</f>
        <v>284.86</v>
      </c>
      <c r="I179" s="158">
        <f>IFERROR(VLOOKUP($A179,[2]P.O.!$A:$J,9,),"")</f>
        <v>569.72</v>
      </c>
      <c r="J179" s="159">
        <f t="shared" si="25"/>
        <v>2.6808252688043528E-4</v>
      </c>
      <c r="K179" s="145">
        <f>IFERROR(VLOOKUP($A179,[2]P.O.!$A:$J,10,),"")</f>
        <v>0.25</v>
      </c>
      <c r="L179" s="265"/>
    </row>
    <row r="180" spans="1:12" s="235" customFormat="1" ht="33">
      <c r="A180" s="76" t="s">
        <v>288</v>
      </c>
      <c r="B180" s="91" t="str">
        <f>IFERROR(VLOOKUP($A180,[2]P.O.!$A:$J,2,),"")</f>
        <v>COMPS27024</v>
      </c>
      <c r="C180" s="91" t="str">
        <f>IFERROR(VLOOKUP($A180,[2]P.O.!$A:$J,3,),"")</f>
        <v>COMPOSIÇÃO</v>
      </c>
      <c r="D180" s="78" t="str">
        <f>IFERROR(VLOOKUP($A180,[2]P.O.!$A:$J,4,),"")</f>
        <v>FORNECIMENTO E INSTALAÇÃO DE TORNEIRA PARA COZINHA DE MESA BICA MÓVEL, CÓD.:B5001C9CR3, ACABAMENTO CROMADO, CELITE OU EQUIVALENTE TÉCNICO.</v>
      </c>
      <c r="E180" s="91" t="str">
        <f>IFERROR(VLOOKUP($A180,[2]P.O.!$A:$J,5,),"")</f>
        <v>UND</v>
      </c>
      <c r="F180" s="139">
        <f>IFERROR(VLOOKUP($A180,[2]P.O.!$A:$J,6,),"")</f>
        <v>2</v>
      </c>
      <c r="G180" s="158">
        <f>IFERROR(VLOOKUP($A180,[2]P.O.!$A:$J,7,),"")</f>
        <v>78.859999999999985</v>
      </c>
      <c r="H180" s="158">
        <f>IFERROR(VLOOKUP($A180,[2]P.O.!$A:$J,8,),"")</f>
        <v>98.58</v>
      </c>
      <c r="I180" s="158">
        <f>IFERROR(VLOOKUP($A180,[2]P.O.!$A:$J,9,),"")</f>
        <v>197.16</v>
      </c>
      <c r="J180" s="159">
        <f t="shared" si="25"/>
        <v>9.2773908235179773E-5</v>
      </c>
      <c r="K180" s="145">
        <f>IFERROR(VLOOKUP($A180,[2]P.O.!$A:$J,10,),"")</f>
        <v>0.25</v>
      </c>
      <c r="L180" s="265"/>
    </row>
    <row r="181" spans="1:12" s="232" customFormat="1" ht="49.5">
      <c r="A181" s="76" t="s">
        <v>289</v>
      </c>
      <c r="B181" s="91" t="str">
        <f>IFERROR(VLOOKUP($A181,[2]P.O.!$A:$J,2,),"")</f>
        <v>COMPS27009</v>
      </c>
      <c r="C181" s="91" t="str">
        <f>IFERROR(VLOOKUP($A181,[2]P.O.!$A:$J,3,),"")</f>
        <v>COMPOSIÇÃO</v>
      </c>
      <c r="D181" s="78" t="str">
        <f>IFERROR(VLOOKUP($A181,[2]P.O.!$A:$J,4,),"")</f>
        <v>FORNECIMENTO E INSTALAÇÃO DE TORNEIRA DE MESA PARA LAVATÓRIO, BICA BAIXA E FECHAMENTO AUTOMÁTICO, COM ACABAMENTO CROMADO, COD.: B501800CR2, CELITE OU EQUIVALENTE TÉCNICO.</v>
      </c>
      <c r="E181" s="91" t="str">
        <f>IFERROR(VLOOKUP($A181,[2]P.O.!$A:$J,5,),"")</f>
        <v>UND</v>
      </c>
      <c r="F181" s="139">
        <f>IFERROR(VLOOKUP($A181,[2]P.O.!$A:$J,6,),"")</f>
        <v>6</v>
      </c>
      <c r="G181" s="158">
        <f>IFERROR(VLOOKUP($A181,[2]P.O.!$A:$J,7,),"")</f>
        <v>157.50000000000003</v>
      </c>
      <c r="H181" s="158">
        <f>IFERROR(VLOOKUP($A181,[2]P.O.!$A:$J,8,),"")</f>
        <v>196.88</v>
      </c>
      <c r="I181" s="158">
        <f>IFERROR(VLOOKUP($A181,[2]P.O.!$A:$J,9,),"")</f>
        <v>1181.28</v>
      </c>
      <c r="J181" s="159">
        <f t="shared" si="25"/>
        <v>5.5585292310840516E-4</v>
      </c>
      <c r="K181" s="145">
        <f>IFERROR(VLOOKUP($A181,[2]P.O.!$A:$J,10,),"")</f>
        <v>0.25</v>
      </c>
      <c r="L181" s="265"/>
    </row>
    <row r="182" spans="1:12" s="232" customFormat="1" ht="33">
      <c r="A182" s="76" t="s">
        <v>290</v>
      </c>
      <c r="B182" s="91" t="str">
        <f>IFERROR(VLOOKUP($A182,[2]P.O.!$A:$J,2,),"")</f>
        <v>COMPS27025</v>
      </c>
      <c r="C182" s="91" t="str">
        <f>IFERROR(VLOOKUP($A182,[2]P.O.!$A:$J,3,),"")</f>
        <v>COMPOSIÇÃO</v>
      </c>
      <c r="D182" s="78" t="str">
        <f>IFERROR(VLOOKUP($A182,[2]P.O.!$A:$J,4,),"")</f>
        <v>FORNECIMENTO E INSTALAÇÃO DE TORNEIRA LAVATÓRIO MESA DE ALAVANCA, BICA BAIXA, LINHA LOGGICA CÓD.: 00274006, DOCOL OU EQUIVALENTE TÉCNICO.</v>
      </c>
      <c r="E182" s="91" t="str">
        <f>IFERROR(VLOOKUP($A182,[2]P.O.!$A:$J,5,),"")</f>
        <v>UND</v>
      </c>
      <c r="F182" s="139">
        <f>IFERROR(VLOOKUP($A182,[2]P.O.!$A:$J,6,),"")</f>
        <v>1</v>
      </c>
      <c r="G182" s="158">
        <f>IFERROR(VLOOKUP($A182,[2]P.O.!$A:$J,7,),"")</f>
        <v>177.12</v>
      </c>
      <c r="H182" s="158">
        <f>IFERROR(VLOOKUP($A182,[2]P.O.!$A:$J,8,),"")</f>
        <v>221.4</v>
      </c>
      <c r="I182" s="158">
        <f>IFERROR(VLOOKUP($A182,[2]P.O.!$A:$J,9,),"")</f>
        <v>221.4</v>
      </c>
      <c r="J182" s="159">
        <f t="shared" si="25"/>
        <v>1.0418007345946846E-4</v>
      </c>
      <c r="K182" s="145">
        <f>IFERROR(VLOOKUP($A182,[2]P.O.!$A:$J,10,),"")</f>
        <v>0.25</v>
      </c>
      <c r="L182" s="265"/>
    </row>
    <row r="183" spans="1:12" s="232" customFormat="1" ht="33">
      <c r="A183" s="76" t="s">
        <v>291</v>
      </c>
      <c r="B183" s="91" t="str">
        <f>IFERROR(VLOOKUP($A183,[2]P.O.!$A:$J,2,),"")</f>
        <v>COMPS27026</v>
      </c>
      <c r="C183" s="91" t="str">
        <f>IFERROR(VLOOKUP($A183,[2]P.O.!$A:$J,3,),"")</f>
        <v>COMPOSIÇÃO</v>
      </c>
      <c r="D183" s="78" t="str">
        <f>IFERROR(VLOOKUP($A183,[2]P.O.!$A:$J,4,),"")</f>
        <v>FORNECIMENTO E INSTALAÇÃO DE TORNEIRA LAVATÓRIO DE MESA, OPÇÃO PARA TANQUE, LINHA TRIO, CÓD.: 00534706, DOCOL OU EQUIVALENTE TÉCNICO.</v>
      </c>
      <c r="E183" s="91" t="str">
        <f>IFERROR(VLOOKUP($A183,[2]P.O.!$A:$J,5,),"")</f>
        <v>UND</v>
      </c>
      <c r="F183" s="139">
        <f>IFERROR(VLOOKUP($A183,[2]P.O.!$A:$J,6,),"")</f>
        <v>1</v>
      </c>
      <c r="G183" s="158">
        <f>IFERROR(VLOOKUP($A183,[2]P.O.!$A:$J,7,),"")</f>
        <v>72.61</v>
      </c>
      <c r="H183" s="158">
        <f>IFERROR(VLOOKUP($A183,[2]P.O.!$A:$J,8,),"")</f>
        <v>90.76</v>
      </c>
      <c r="I183" s="158">
        <f>IFERROR(VLOOKUP($A183,[2]P.O.!$A:$J,9,),"")</f>
        <v>90.76</v>
      </c>
      <c r="J183" s="159">
        <f t="shared" si="25"/>
        <v>4.2707242399193121E-5</v>
      </c>
      <c r="K183" s="145">
        <f>IFERROR(VLOOKUP($A183,[2]P.O.!$A:$J,10,),"")</f>
        <v>0.25</v>
      </c>
      <c r="L183" s="265"/>
    </row>
    <row r="184" spans="1:12" s="232" customFormat="1" ht="33">
      <c r="A184" s="76" t="s">
        <v>292</v>
      </c>
      <c r="B184" s="91" t="str">
        <f>IFERROR(VLOOKUP($A184,[2]P.O.!$A:$J,2,),"")</f>
        <v>COMPS27013</v>
      </c>
      <c r="C184" s="91" t="str">
        <f>IFERROR(VLOOKUP($A184,[2]P.O.!$A:$J,3,),"")</f>
        <v>COMPOSIÇÃO</v>
      </c>
      <c r="D184" s="78" t="str">
        <f>IFERROR(VLOOKUP($A184,[2]P.O.!$A:$J,4,),"")</f>
        <v>FORNECIMENTO E INSTALAÇÃO DE SIFÃO PARA COZINHA 1.1/2"X1.1/2", ADAPTADOR PARA 2" E TUBO DE 300MM, CÓD.: B5817C5CRB, CELITE OU EQUIVALENTE TÉCNICO.</v>
      </c>
      <c r="E184" s="91" t="str">
        <f>IFERROR(VLOOKUP($A184,[2]P.O.!$A:$J,5,),"")</f>
        <v>UND</v>
      </c>
      <c r="F184" s="139">
        <f>IFERROR(VLOOKUP($A184,[2]P.O.!$A:$J,6,),"")</f>
        <v>2</v>
      </c>
      <c r="G184" s="158">
        <f>IFERROR(VLOOKUP($A184,[2]P.O.!$A:$J,7,),"")</f>
        <v>102.75</v>
      </c>
      <c r="H184" s="158">
        <f>IFERROR(VLOOKUP($A184,[2]P.O.!$A:$J,8,),"")</f>
        <v>128.44</v>
      </c>
      <c r="I184" s="158">
        <f>IFERROR(VLOOKUP($A184,[2]P.O.!$A:$J,9,),"")</f>
        <v>256.88</v>
      </c>
      <c r="J184" s="159">
        <f t="shared" si="25"/>
        <v>1.2087523608973919E-4</v>
      </c>
      <c r="K184" s="145">
        <f>IFERROR(VLOOKUP($A184,[2]P.O.!$A:$J,10,),"")</f>
        <v>0.25</v>
      </c>
      <c r="L184" s="265"/>
    </row>
    <row r="185" spans="1:12" s="232" customFormat="1" ht="33">
      <c r="A185" s="76" t="s">
        <v>293</v>
      </c>
      <c r="B185" s="91" t="str">
        <f>IFERROR(VLOOKUP($A185,[2]P.O.!$A:$J,2,),"")</f>
        <v>COMPS27027</v>
      </c>
      <c r="C185" s="91" t="str">
        <f>IFERROR(VLOOKUP($A185,[2]P.O.!$A:$J,3,),"")</f>
        <v>COMPOSIÇÃO</v>
      </c>
      <c r="D185" s="78" t="str">
        <f>IFERROR(VLOOKUP($A185,[2]P.O.!$A:$J,4,),"")</f>
        <v>FORNECIMENTO E INSTALAÇÃO DE SIFÃO PARA LAVATÓRIO 1"X1.1/2", COM TUBO DE 300MM, CÓD.: B5816C5CRB, CELITE OU EQUIVALENTE TÉCNICO.</v>
      </c>
      <c r="E185" s="91" t="str">
        <f>IFERROR(VLOOKUP($A185,[2]P.O.!$A:$J,5,),"")</f>
        <v>UND</v>
      </c>
      <c r="F185" s="139">
        <f>IFERROR(VLOOKUP($A185,[2]P.O.!$A:$J,6,),"")</f>
        <v>6</v>
      </c>
      <c r="G185" s="158">
        <f>IFERROR(VLOOKUP($A185,[2]P.O.!$A:$J,7,),"")</f>
        <v>84.28</v>
      </c>
      <c r="H185" s="158">
        <f>IFERROR(VLOOKUP($A185,[2]P.O.!$A:$J,8,),"")</f>
        <v>105.35</v>
      </c>
      <c r="I185" s="158">
        <f>IFERROR(VLOOKUP($A185,[2]P.O.!$A:$J,9,),"")</f>
        <v>632.1</v>
      </c>
      <c r="J185" s="159">
        <f t="shared" si="25"/>
        <v>2.9743552138089438E-4</v>
      </c>
      <c r="K185" s="145">
        <f>IFERROR(VLOOKUP($A185,[2]P.O.!$A:$J,10,),"")</f>
        <v>0.25</v>
      </c>
      <c r="L185" s="265"/>
    </row>
    <row r="186" spans="1:12" s="232" customFormat="1">
      <c r="A186" s="76" t="s">
        <v>294</v>
      </c>
      <c r="B186" s="91">
        <f>IFERROR(VLOOKUP($A186,[2]P.O.!$A:$J,2,),"")</f>
        <v>86882</v>
      </c>
      <c r="C186" s="91" t="str">
        <f>IFERROR(VLOOKUP($A186,[2]P.O.!$A:$J,3,),"")</f>
        <v>SINAPI SERVIÇO</v>
      </c>
      <c r="D186" s="78" t="str">
        <f>IFERROR(VLOOKUP($A186,[2]P.O.!$A:$J,4,),"")</f>
        <v>SIFÃO DO TIPO GARRAFA EM PVC 1.1/4" - FORNECIMENTO E INSTALAÇÃO. AF_12   /2013</v>
      </c>
      <c r="E186" s="91" t="str">
        <f>IFERROR(VLOOKUP($A186,[2]P.O.!$A:$J,5,),"")</f>
        <v>UN</v>
      </c>
      <c r="F186" s="139">
        <f>IFERROR(VLOOKUP($A186,[2]P.O.!$A:$J,6,),"")</f>
        <v>1</v>
      </c>
      <c r="G186" s="158">
        <f>IFERROR(VLOOKUP($A186,[2]P.O.!$A:$J,7,),"")</f>
        <v>12.41</v>
      </c>
      <c r="H186" s="158">
        <f>IFERROR(VLOOKUP($A186,[2]P.O.!$A:$J,8,),"")</f>
        <v>15.51</v>
      </c>
      <c r="I186" s="158">
        <f>IFERROR(VLOOKUP($A186,[2]P.O.!$A:$J,9,),"")</f>
        <v>15.51</v>
      </c>
      <c r="J186" s="159">
        <f t="shared" si="25"/>
        <v>7.2982517586104598E-6</v>
      </c>
      <c r="K186" s="145">
        <f>IFERROR(VLOOKUP($A186,[2]P.O.!$A:$J,10,),"")</f>
        <v>0.25</v>
      </c>
      <c r="L186" s="265"/>
    </row>
    <row r="187" spans="1:12" s="232" customFormat="1" ht="33">
      <c r="A187" s="76" t="s">
        <v>295</v>
      </c>
      <c r="B187" s="91" t="str">
        <f>IFERROR(VLOOKUP($A187,[2]P.O.!$A:$J,2,),"")</f>
        <v>COMPS27014</v>
      </c>
      <c r="C187" s="91" t="str">
        <f>IFERROR(VLOOKUP($A187,[2]P.O.!$A:$J,3,),"")</f>
        <v>COMPOSIÇÃO</v>
      </c>
      <c r="D187" s="78" t="str">
        <f>IFERROR(VLOOKUP($A187,[2]P.O.!$A:$J,4,),"")</f>
        <v>FORNECIMENTO E INSTALAÇÃO DE SIFÃO ARTICULADO PARA LAVATÓRIO, COD.:1682.C.100.112, ACABAMENTO CROMADO, DECA OU EQUIVALENTE TÉCNICO.</v>
      </c>
      <c r="E187" s="91" t="str">
        <f>IFERROR(VLOOKUP($A187,[2]P.O.!$A:$J,5,),"")</f>
        <v>UND</v>
      </c>
      <c r="F187" s="139">
        <f>IFERROR(VLOOKUP($A187,[2]P.O.!$A:$J,6,),"")</f>
        <v>1</v>
      </c>
      <c r="G187" s="158">
        <f>IFERROR(VLOOKUP($A187,[2]P.O.!$A:$J,7,),"")</f>
        <v>147.57</v>
      </c>
      <c r="H187" s="158">
        <f>IFERROR(VLOOKUP($A187,[2]P.O.!$A:$J,8,),"")</f>
        <v>184.46</v>
      </c>
      <c r="I187" s="158">
        <f>IFERROR(VLOOKUP($A187,[2]P.O.!$A:$J,9,),"")</f>
        <v>184.46</v>
      </c>
      <c r="J187" s="159">
        <f t="shared" si="25"/>
        <v>8.6797905828064822E-5</v>
      </c>
      <c r="K187" s="145">
        <f>IFERROR(VLOOKUP($A187,[2]P.O.!$A:$J,10,),"")</f>
        <v>0.25</v>
      </c>
      <c r="L187" s="265"/>
    </row>
    <row r="188" spans="1:12" s="232" customFormat="1" ht="49.5">
      <c r="A188" s="76" t="s">
        <v>296</v>
      </c>
      <c r="B188" s="91" t="str">
        <f>IFERROR(VLOOKUP($A188,[2]P.O.!$A:$J,2,),"")</f>
        <v>COMPS27015</v>
      </c>
      <c r="C188" s="91" t="str">
        <f>IFERROR(VLOOKUP($A188,[2]P.O.!$A:$J,3,),"")</f>
        <v>COMPOSIÇÃO</v>
      </c>
      <c r="D188" s="78" t="str">
        <f>IFERROR(VLOOKUP($A188,[2]P.O.!$A:$J,4,),"")</f>
        <v>FORNECIMENTO E INSTALAÇÃO DE CAIXA DE DESCARGA DE EMBUTIR, M9000A, COM TUBO DE ESGOTO DE 50MM E ESPELHO DE ACIONAMENTO TIPO MONTREAL EM AÇO INOX COM ACABAMENTO POLIDO, MONTANA OU EQUIVALENTE TÉCNICO.</v>
      </c>
      <c r="E188" s="91" t="str">
        <f>IFERROR(VLOOKUP($A188,[2]P.O.!$A:$J,5,),"")</f>
        <v>UND</v>
      </c>
      <c r="F188" s="139">
        <f>IFERROR(VLOOKUP($A188,[2]P.O.!$A:$J,6,),"")</f>
        <v>1</v>
      </c>
      <c r="G188" s="158">
        <f>IFERROR(VLOOKUP($A188,[2]P.O.!$A:$J,7,),"")</f>
        <v>512.1</v>
      </c>
      <c r="H188" s="158">
        <f>IFERROR(VLOOKUP($A188,[2]P.O.!$A:$J,8,),"")</f>
        <v>640.13</v>
      </c>
      <c r="I188" s="158">
        <f>IFERROR(VLOOKUP($A188,[2]P.O.!$A:$J,9,),"")</f>
        <v>640.13</v>
      </c>
      <c r="J188" s="159">
        <f t="shared" si="25"/>
        <v>3.0121404888712531E-4</v>
      </c>
      <c r="K188" s="145">
        <f>IFERROR(VLOOKUP($A188,[2]P.O.!$A:$J,10,),"")</f>
        <v>0.25</v>
      </c>
      <c r="L188" s="265"/>
    </row>
    <row r="189" spans="1:12" s="232" customFormat="1" ht="33">
      <c r="A189" s="76" t="s">
        <v>297</v>
      </c>
      <c r="B189" s="91" t="str">
        <f>IFERROR(VLOOKUP($A189,[2]P.O.!$A:$J,2,),"")</f>
        <v>COMPS27028</v>
      </c>
      <c r="C189" s="91" t="str">
        <f>IFERROR(VLOOKUP($A189,[2]P.O.!$A:$J,3,),"")</f>
        <v>COMPOSIÇÃO</v>
      </c>
      <c r="D189" s="78" t="str">
        <f>IFERROR(VLOOKUP($A189,[2]P.O.!$A:$J,4,),"")</f>
        <v>FORNECIMENTO E INSTALAÇÃO DE DUCHA HIGIÊNICA COM REGISTRO E COM GATILHO, PERTUTTI, CÓD.: 00455706, DOCOL OU EQUIVALENTE TÉCNICO.</v>
      </c>
      <c r="E189" s="91" t="str">
        <f>IFERROR(VLOOKUP($A189,[2]P.O.!$A:$J,5,),"")</f>
        <v>UND</v>
      </c>
      <c r="F189" s="139">
        <f>IFERROR(VLOOKUP($A189,[2]P.O.!$A:$J,6,),"")</f>
        <v>7</v>
      </c>
      <c r="G189" s="158">
        <f>IFERROR(VLOOKUP($A189,[2]P.O.!$A:$J,7,),"")</f>
        <v>119.57</v>
      </c>
      <c r="H189" s="158">
        <f>IFERROR(VLOOKUP($A189,[2]P.O.!$A:$J,8,),"")</f>
        <v>149.46</v>
      </c>
      <c r="I189" s="158">
        <f>IFERROR(VLOOKUP($A189,[2]P.O.!$A:$J,9,),"")</f>
        <v>1046.22</v>
      </c>
      <c r="J189" s="159">
        <f t="shared" si="25"/>
        <v>4.9230025498990559E-4</v>
      </c>
      <c r="K189" s="145">
        <f>IFERROR(VLOOKUP($A189,[2]P.O.!$A:$J,10,),"")</f>
        <v>0.25</v>
      </c>
      <c r="L189" s="265"/>
    </row>
    <row r="190" spans="1:12" s="232" customFormat="1">
      <c r="A190" s="76" t="s">
        <v>298</v>
      </c>
      <c r="B190" s="91">
        <f>IFERROR(VLOOKUP($A190,[2]P.O.!$A:$J,2,),"")</f>
        <v>9535</v>
      </c>
      <c r="C190" s="91" t="str">
        <f>IFERROR(VLOOKUP($A190,[2]P.O.!$A:$J,3,),"")</f>
        <v>SINAPI SERVIÇO</v>
      </c>
      <c r="D190" s="78" t="str">
        <f>IFERROR(VLOOKUP($A190,[2]P.O.!$A:$J,4,),"")</f>
        <v>CHUVEIRO ELETRICO COMUM CORPO PLASTICO TIPO DUCHA, FORNECIMENTO E INST   ALACAO</v>
      </c>
      <c r="E190" s="91" t="str">
        <f>IFERROR(VLOOKUP($A190,[2]P.O.!$A:$J,5,),"")</f>
        <v>UN</v>
      </c>
      <c r="F190" s="139">
        <f>IFERROR(VLOOKUP($A190,[2]P.O.!$A:$J,6,),"")</f>
        <v>2</v>
      </c>
      <c r="G190" s="158">
        <f>IFERROR(VLOOKUP($A190,[2]P.O.!$A:$J,7,),"")</f>
        <v>56.34</v>
      </c>
      <c r="H190" s="158">
        <f>IFERROR(VLOOKUP($A190,[2]P.O.!$A:$J,8,),"")</f>
        <v>70.430000000000007</v>
      </c>
      <c r="I190" s="158">
        <f>IFERROR(VLOOKUP($A190,[2]P.O.!$A:$J,9,),"")</f>
        <v>140.86000000000001</v>
      </c>
      <c r="J190" s="159">
        <f t="shared" si="25"/>
        <v>6.6281866068205634E-5</v>
      </c>
      <c r="K190" s="145">
        <f>IFERROR(VLOOKUP($A190,[2]P.O.!$A:$J,10,),"")</f>
        <v>0.25</v>
      </c>
      <c r="L190" s="265"/>
    </row>
    <row r="191" spans="1:12" s="232" customFormat="1">
      <c r="A191" s="76"/>
      <c r="B191" s="91"/>
      <c r="C191" s="91"/>
      <c r="D191" s="78"/>
      <c r="E191" s="91"/>
      <c r="F191" s="139"/>
      <c r="G191" s="158"/>
      <c r="H191" s="158"/>
      <c r="I191" s="158"/>
      <c r="J191" s="159"/>
      <c r="K191" s="141"/>
    </row>
    <row r="192" spans="1:12" s="235" customFormat="1">
      <c r="A192" s="101" t="s">
        <v>299</v>
      </c>
      <c r="B192" s="102"/>
      <c r="C192" s="102"/>
      <c r="D192" s="103" t="str">
        <f>IFERROR(VLOOKUP($A192,[2]P.O.!$A:$J,4,),"")</f>
        <v>GRANITO</v>
      </c>
      <c r="E192" s="102"/>
      <c r="F192" s="169"/>
      <c r="G192" s="170"/>
      <c r="H192" s="170"/>
      <c r="I192" s="170"/>
      <c r="J192" s="171"/>
      <c r="K192" s="246"/>
    </row>
    <row r="193" spans="1:12" s="232" customFormat="1">
      <c r="A193" s="76"/>
      <c r="B193" s="91"/>
      <c r="C193" s="91"/>
      <c r="D193" s="78"/>
      <c r="E193" s="91"/>
      <c r="F193" s="139"/>
      <c r="G193" s="158"/>
      <c r="H193" s="158"/>
      <c r="I193" s="158"/>
      <c r="J193" s="159"/>
      <c r="K193" s="141"/>
    </row>
    <row r="194" spans="1:12" s="232" customFormat="1" ht="33">
      <c r="A194" s="76" t="s">
        <v>300</v>
      </c>
      <c r="B194" s="91" t="str">
        <f>IFERROR(VLOOKUP($A194,[2]P.O.!$A:$J,2,),"")</f>
        <v>COMPS3020</v>
      </c>
      <c r="C194" s="91" t="str">
        <f>IFERROR(VLOOKUP($A194,[2]P.O.!$A:$J,3,),"")</f>
        <v>COMPOSIÇÃO</v>
      </c>
      <c r="D194" s="78" t="str">
        <f>IFERROR(VLOOKUP($A194,[2]P.O.!$A:$J,4,),"")</f>
        <v>FORNECIMENTO E COLOCAÇÃO DE DIVISÓRIA EM PEDRA GRANÍTICA BRANCO AQUALUX E=2CM, H=1,80M, ACABAMENTO POLIDO EM AMBOS OS LADOS.</v>
      </c>
      <c r="E194" s="91" t="str">
        <f>IFERROR(VLOOKUP($A194,[2]P.O.!$A:$J,5,),"")</f>
        <v>M2</v>
      </c>
      <c r="F194" s="139">
        <f>IFERROR(VLOOKUP($A194,[2]P.O.!$A:$J,6,),"")</f>
        <v>17.48</v>
      </c>
      <c r="G194" s="158">
        <f>IFERROR(VLOOKUP($A194,[2]P.O.!$A:$J,7,),"")</f>
        <v>551.46</v>
      </c>
      <c r="H194" s="158">
        <f>IFERROR(VLOOKUP($A194,[2]P.O.!$A:$J,8,),"")</f>
        <v>689.33</v>
      </c>
      <c r="I194" s="158">
        <f>IFERROR(VLOOKUP($A194,[2]P.O.!$A:$J,9,),"")</f>
        <v>12049.49</v>
      </c>
      <c r="J194" s="159">
        <f t="shared" ref="J194:J204" si="26">IF(I194="","",I194/$E$777)</f>
        <v>5.66990403500059E-3</v>
      </c>
      <c r="K194" s="145">
        <f>IFERROR(VLOOKUP($A194,[2]P.O.!$A:$J,10,),"")</f>
        <v>0.25</v>
      </c>
      <c r="L194" s="265"/>
    </row>
    <row r="195" spans="1:12" s="232" customFormat="1" ht="49.5">
      <c r="A195" s="76" t="s">
        <v>301</v>
      </c>
      <c r="B195" s="91" t="str">
        <f>IFERROR(VLOOKUP($A195,[2]P.O.!$A:$J,2,),"")</f>
        <v>COMPS3021</v>
      </c>
      <c r="C195" s="91" t="str">
        <f>IFERROR(VLOOKUP($A195,[2]P.O.!$A:$J,3,),"")</f>
        <v>COMPOSIÇÃO</v>
      </c>
      <c r="D195" s="78" t="str">
        <f>IFERROR(VLOOKUP($A195,[2]P.O.!$A:$J,4,),"")</f>
        <v>FORNECIMENTO E COLOCAÇÃO DE BANCADA EM PEDRA GRANÍTICA BRANCO AQUALUX E=2CM, 35CM DE LARGURA, A SER CHUMBADA NA PAREDE. COM RESPALDO DE 20CM E TESTEIRA DE 8CM, ACABAMENTO POLIDO.</v>
      </c>
      <c r="E195" s="91" t="str">
        <f>IFERROR(VLOOKUP($A195,[2]P.O.!$A:$J,5,),"")</f>
        <v>M</v>
      </c>
      <c r="F195" s="139">
        <f>IFERROR(VLOOKUP($A195,[2]P.O.!$A:$J,6,),"")</f>
        <v>3</v>
      </c>
      <c r="G195" s="158">
        <f>IFERROR(VLOOKUP($A195,[2]P.O.!$A:$J,7,),"")</f>
        <v>269.3</v>
      </c>
      <c r="H195" s="158">
        <f>IFERROR(VLOOKUP($A195,[2]P.O.!$A:$J,8,),"")</f>
        <v>336.63</v>
      </c>
      <c r="I195" s="158">
        <f>IFERROR(VLOOKUP($A195,[2]P.O.!$A:$J,9,),"")</f>
        <v>1009.89</v>
      </c>
      <c r="J195" s="159">
        <f t="shared" si="26"/>
        <v>4.7520512369459165E-4</v>
      </c>
      <c r="K195" s="145">
        <f>IFERROR(VLOOKUP($A195,[2]P.O.!$A:$J,10,),"")</f>
        <v>0.25</v>
      </c>
      <c r="L195" s="265"/>
    </row>
    <row r="196" spans="1:12" s="235" customFormat="1" ht="49.5">
      <c r="A196" s="76" t="s">
        <v>302</v>
      </c>
      <c r="B196" s="91" t="str">
        <f>IFERROR(VLOOKUP($A196,[2]P.O.!$A:$J,2,),"")</f>
        <v>COMPS3022</v>
      </c>
      <c r="C196" s="91" t="str">
        <f>IFERROR(VLOOKUP($A196,[2]P.O.!$A:$J,3,),"")</f>
        <v>COMPOSIÇÃO</v>
      </c>
      <c r="D196" s="78" t="str">
        <f>IFERROR(VLOOKUP($A196,[2]P.O.!$A:$J,4,),"")</f>
        <v>FORNECIMENTO E COLOCAÇÃO DE BANCADA EM PEDRA GRANÍTICA BRANCO AQUALUX E=2CM, 50CM DE LARGURA, A SER CHUMBADA NA PAREDE. COM RESPALDO DE 8CM E TESTEIRA DE 8CM, ACABAMENTO POLIDO.</v>
      </c>
      <c r="E196" s="91" t="str">
        <f>IFERROR(VLOOKUP($A196,[2]P.O.!$A:$J,5,),"")</f>
        <v>M</v>
      </c>
      <c r="F196" s="139">
        <f>IFERROR(VLOOKUP($A196,[2]P.O.!$A:$J,6,),"")</f>
        <v>5.6</v>
      </c>
      <c r="G196" s="158">
        <f>IFERROR(VLOOKUP($A196,[2]P.O.!$A:$J,7,),"")</f>
        <v>348.05</v>
      </c>
      <c r="H196" s="158">
        <f>IFERROR(VLOOKUP($A196,[2]P.O.!$A:$J,8,),"")</f>
        <v>435.06</v>
      </c>
      <c r="I196" s="158">
        <f>IFERROR(VLOOKUP($A196,[2]P.O.!$A:$J,9,),"")</f>
        <v>2436.34</v>
      </c>
      <c r="J196" s="159">
        <f t="shared" si="26"/>
        <v>1.1464231263425538E-3</v>
      </c>
      <c r="K196" s="145">
        <f>IFERROR(VLOOKUP($A196,[2]P.O.!$A:$J,10,),"")</f>
        <v>0.25</v>
      </c>
      <c r="L196" s="265"/>
    </row>
    <row r="197" spans="1:12" s="232" customFormat="1" ht="49.5">
      <c r="A197" s="76" t="s">
        <v>303</v>
      </c>
      <c r="B197" s="91" t="str">
        <f>IFERROR(VLOOKUP($A197,[2]P.O.!$A:$J,2,),"")</f>
        <v>COMPS3023</v>
      </c>
      <c r="C197" s="91" t="str">
        <f>IFERROR(VLOOKUP($A197,[2]P.O.!$A:$J,3,),"")</f>
        <v>COMPOSIÇÃO</v>
      </c>
      <c r="D197" s="78" t="str">
        <f>IFERROR(VLOOKUP($A197,[2]P.O.!$A:$J,4,),"")</f>
        <v>FORNECIMENTO E COLOCAÇÃO DE BANCADA EM PEDRA GRANITICA BRANCO AQUALUX E=2CM, 60CM DE LARGURA, APOIADA SOBRE ALVENARIA DE 1/2 VEZ, COM TESTEIRA DE 8CM, CONFORME DETALHE, ACABAMENTO POLIDO.</v>
      </c>
      <c r="E197" s="91" t="str">
        <f>IFERROR(VLOOKUP($A197,[2]P.O.!$A:$J,5,),"")</f>
        <v>M</v>
      </c>
      <c r="F197" s="139">
        <f>IFERROR(VLOOKUP($A197,[2]P.O.!$A:$J,6,),"")</f>
        <v>5.5</v>
      </c>
      <c r="G197" s="158">
        <f>IFERROR(VLOOKUP($A197,[2]P.O.!$A:$J,7,),"")</f>
        <v>546.26</v>
      </c>
      <c r="H197" s="158">
        <f>IFERROR(VLOOKUP($A197,[2]P.O.!$A:$J,8,),"")</f>
        <v>682.83</v>
      </c>
      <c r="I197" s="158">
        <f>IFERROR(VLOOKUP($A197,[2]P.O.!$A:$J,9,),"")</f>
        <v>3755.57</v>
      </c>
      <c r="J197" s="159">
        <f t="shared" si="26"/>
        <v>1.7671886110306051E-3</v>
      </c>
      <c r="K197" s="145">
        <f>IFERROR(VLOOKUP($A197,[2]P.O.!$A:$J,10,),"")</f>
        <v>0.25</v>
      </c>
      <c r="L197" s="265"/>
    </row>
    <row r="198" spans="1:12" s="232" customFormat="1" ht="33">
      <c r="A198" s="76" t="s">
        <v>304</v>
      </c>
      <c r="B198" s="91" t="str">
        <f>IFERROR(VLOOKUP($A198,[2]P.O.!$A:$J,2,),"")</f>
        <v>COMPS3024</v>
      </c>
      <c r="C198" s="91" t="str">
        <f>IFERROR(VLOOKUP($A198,[2]P.O.!$A:$J,3,),"")</f>
        <v>COMPOSIÇÃO</v>
      </c>
      <c r="D198" s="78" t="str">
        <f>IFERROR(VLOOKUP($A198,[2]P.O.!$A:$J,4,),"")</f>
        <v>FORNECIMENTO E COLOCAÇÃO DE RODAPÉ EM PEDRA GRANITICA BRANCO AQUALUX, ALTURA 15CM, ACABAMENTO POLIDO.</v>
      </c>
      <c r="E198" s="91" t="str">
        <f>IFERROR(VLOOKUP($A198,[2]P.O.!$A:$J,5,),"")</f>
        <v>M</v>
      </c>
      <c r="F198" s="139">
        <f>IFERROR(VLOOKUP($A198,[2]P.O.!$A:$J,6,),"")</f>
        <v>19.2</v>
      </c>
      <c r="G198" s="158">
        <f>IFERROR(VLOOKUP($A198,[2]P.O.!$A:$J,7,),"")</f>
        <v>80.669999999999987</v>
      </c>
      <c r="H198" s="158">
        <f>IFERROR(VLOOKUP($A198,[2]P.O.!$A:$J,8,),"")</f>
        <v>100.84</v>
      </c>
      <c r="I198" s="158">
        <f>IFERROR(VLOOKUP($A198,[2]P.O.!$A:$J,9,),"")</f>
        <v>1936.13</v>
      </c>
      <c r="J198" s="159">
        <f t="shared" si="26"/>
        <v>9.110486252352334E-4</v>
      </c>
      <c r="K198" s="145">
        <f>IFERROR(VLOOKUP($A198,[2]P.O.!$A:$J,10,),"")</f>
        <v>0.25</v>
      </c>
      <c r="L198" s="265"/>
    </row>
    <row r="199" spans="1:12" s="232" customFormat="1" ht="33">
      <c r="A199" s="76" t="s">
        <v>305</v>
      </c>
      <c r="B199" s="91" t="str">
        <f>IFERROR(VLOOKUP($A199,[2]P.O.!$A:$J,2,),"")</f>
        <v>COMPS3075</v>
      </c>
      <c r="C199" s="91" t="str">
        <f>IFERROR(VLOOKUP($A199,[2]P.O.!$A:$J,3,),"")</f>
        <v>COMPOSIÇÃO</v>
      </c>
      <c r="D199" s="78" t="str">
        <f>IFERROR(VLOOKUP($A199,[2]P.O.!$A:$J,4,),"")</f>
        <v>FORNECIMENTO E COLOCAÇÃO DE PISO EM PEDRA GRANÍTICA CINZA ANDORINHA, E=2cm, ACABAMENTO APICOADO, CONFORME PROJETO.</v>
      </c>
      <c r="E199" s="91" t="str">
        <f>IFERROR(VLOOKUP($A199,[2]P.O.!$A:$J,5,),"")</f>
        <v>M2</v>
      </c>
      <c r="F199" s="139">
        <f>IFERROR(VLOOKUP($A199,[2]P.O.!$A:$J,6,),"")</f>
        <v>3.27</v>
      </c>
      <c r="G199" s="158">
        <f>IFERROR(VLOOKUP($A199,[2]P.O.!$A:$J,7,),"")</f>
        <v>183.26000000000002</v>
      </c>
      <c r="H199" s="158">
        <f>IFERROR(VLOOKUP($A199,[2]P.O.!$A:$J,8,),"")</f>
        <v>229.08</v>
      </c>
      <c r="I199" s="158">
        <f>IFERROR(VLOOKUP($A199,[2]P.O.!$A:$J,9,),"")</f>
        <v>749.09</v>
      </c>
      <c r="J199" s="159">
        <f t="shared" si="26"/>
        <v>3.5248532623194774E-4</v>
      </c>
      <c r="K199" s="145">
        <f>IFERROR(VLOOKUP($A199,[2]P.O.!$A:$J,10,),"")</f>
        <v>0.25</v>
      </c>
      <c r="L199" s="265"/>
    </row>
    <row r="200" spans="1:12" s="232" customFormat="1" ht="33">
      <c r="A200" s="76" t="s">
        <v>306</v>
      </c>
      <c r="B200" s="91" t="str">
        <f>IFERROR(VLOOKUP($A200,[2]P.O.!$A:$J,2,),"")</f>
        <v>COMPS3076</v>
      </c>
      <c r="C200" s="91" t="str">
        <f>IFERROR(VLOOKUP($A200,[2]P.O.!$A:$J,3,),"")</f>
        <v>COMPOSIÇÃO</v>
      </c>
      <c r="D200" s="78" t="str">
        <f>IFERROR(VLOOKUP($A200,[2]P.O.!$A:$J,4,),"")</f>
        <v>FORNECIMENTO E COLOCAÇÃO DE SOLEIRA EM PEDRA GRANÍTICA CINZA ANDORINHA, L= 31cm E=2cm, ACABAMENTO APICOADO, CONFORME PROJETO.</v>
      </c>
      <c r="E200" s="91" t="str">
        <f>IFERROR(VLOOKUP($A200,[2]P.O.!$A:$J,5,),"")</f>
        <v>M</v>
      </c>
      <c r="F200" s="139">
        <f>IFERROR(VLOOKUP($A200,[2]P.O.!$A:$J,6,),"")</f>
        <v>4</v>
      </c>
      <c r="G200" s="158">
        <f>IFERROR(VLOOKUP($A200,[2]P.O.!$A:$J,7,),"")</f>
        <v>83.08</v>
      </c>
      <c r="H200" s="158">
        <f>IFERROR(VLOOKUP($A200,[2]P.O.!$A:$J,8,),"")</f>
        <v>103.85</v>
      </c>
      <c r="I200" s="158">
        <f>IFERROR(VLOOKUP($A200,[2]P.O.!$A:$J,9,),"")</f>
        <v>415.4</v>
      </c>
      <c r="J200" s="159">
        <f t="shared" si="26"/>
        <v>1.9546703936342905E-4</v>
      </c>
      <c r="K200" s="145">
        <f>IFERROR(VLOOKUP($A200,[2]P.O.!$A:$J,10,),"")</f>
        <v>0.25</v>
      </c>
      <c r="L200" s="265"/>
    </row>
    <row r="201" spans="1:12" s="232" customFormat="1" ht="33">
      <c r="A201" s="76" t="s">
        <v>307</v>
      </c>
      <c r="B201" s="91" t="str">
        <f>IFERROR(VLOOKUP($A201,[2]P.O.!$A:$J,2,),"")</f>
        <v>COMPS3077</v>
      </c>
      <c r="C201" s="91" t="str">
        <f>IFERROR(VLOOKUP($A201,[2]P.O.!$A:$J,3,),"")</f>
        <v>COMPOSIÇÃO</v>
      </c>
      <c r="D201" s="78" t="str">
        <f>IFERROR(VLOOKUP($A201,[2]P.O.!$A:$J,4,),"")</f>
        <v>FORNECIMENTO E COLOCAÇÃO DE SOLEIRA EM PEDRA GRANÍTICA CINZA ANDORINHA, L= 23cm E=2cm, ACABAMENTO APICOADO, CONFORME PROJETO.</v>
      </c>
      <c r="E201" s="91" t="str">
        <f>IFERROR(VLOOKUP($A201,[2]P.O.!$A:$J,5,),"")</f>
        <v>M</v>
      </c>
      <c r="F201" s="139">
        <f>IFERROR(VLOOKUP($A201,[2]P.O.!$A:$J,6,),"")</f>
        <v>2.9</v>
      </c>
      <c r="G201" s="158">
        <f>IFERROR(VLOOKUP($A201,[2]P.O.!$A:$J,7,),"")</f>
        <v>61.9</v>
      </c>
      <c r="H201" s="158">
        <f>IFERROR(VLOOKUP($A201,[2]P.O.!$A:$J,8,),"")</f>
        <v>77.38</v>
      </c>
      <c r="I201" s="158">
        <f>IFERROR(VLOOKUP($A201,[2]P.O.!$A:$J,9,),"")</f>
        <v>224.4</v>
      </c>
      <c r="J201" s="159">
        <f t="shared" si="26"/>
        <v>1.0559172757138538E-4</v>
      </c>
      <c r="K201" s="145">
        <f>IFERROR(VLOOKUP($A201,[2]P.O.!$A:$J,10,),"")</f>
        <v>0.25</v>
      </c>
      <c r="L201" s="265"/>
    </row>
    <row r="202" spans="1:12" s="232" customFormat="1" ht="33">
      <c r="A202" s="76" t="s">
        <v>308</v>
      </c>
      <c r="B202" s="91" t="str">
        <f>IFERROR(VLOOKUP($A202,[2]P.O.!$A:$J,2,),"")</f>
        <v>COMPS3028</v>
      </c>
      <c r="C202" s="91" t="str">
        <f>IFERROR(VLOOKUP($A202,[2]P.O.!$A:$J,3,),"")</f>
        <v>COMPOSIÇÃO</v>
      </c>
      <c r="D202" s="78" t="str">
        <f>IFERROR(VLOOKUP($A202,[2]P.O.!$A:$J,4,),"")</f>
        <v>FORNECIMENTO E COLOCAÇÃO DE SOLEIRA EM PEDRA GRANÍTICA BRANCO AQUALUX, L=15CM E=2CM, ACABAMENTO POLIDO, CONFORME DETALHE.</v>
      </c>
      <c r="E202" s="91" t="str">
        <f>IFERROR(VLOOKUP($A202,[2]P.O.!$A:$J,5,),"")</f>
        <v>M</v>
      </c>
      <c r="F202" s="139">
        <f>IFERROR(VLOOKUP($A202,[2]P.O.!$A:$J,6,),"")</f>
        <v>6.24</v>
      </c>
      <c r="G202" s="158">
        <f>IFERROR(VLOOKUP($A202,[2]P.O.!$A:$J,7,),"")</f>
        <v>202.17</v>
      </c>
      <c r="H202" s="158">
        <f>IFERROR(VLOOKUP($A202,[2]P.O.!$A:$J,8,),"")</f>
        <v>252.71</v>
      </c>
      <c r="I202" s="158">
        <f>IFERROR(VLOOKUP($A202,[2]P.O.!$A:$J,9,),"")</f>
        <v>1576.91</v>
      </c>
      <c r="J202" s="159">
        <f t="shared" si="26"/>
        <v>7.4201716187430181E-4</v>
      </c>
      <c r="K202" s="145">
        <f>IFERROR(VLOOKUP($A202,[2]P.O.!$A:$J,10,),"")</f>
        <v>0.25</v>
      </c>
      <c r="L202" s="265"/>
    </row>
    <row r="203" spans="1:12" s="232" customFormat="1" ht="33">
      <c r="A203" s="76" t="s">
        <v>309</v>
      </c>
      <c r="B203" s="91" t="str">
        <f>IFERROR(VLOOKUP($A203,[2]P.O.!$A:$J,2,),"")</f>
        <v>COMPS3029</v>
      </c>
      <c r="C203" s="91" t="str">
        <f>IFERROR(VLOOKUP($A203,[2]P.O.!$A:$J,3,),"")</f>
        <v>COMPOSIÇÃO</v>
      </c>
      <c r="D203" s="78" t="str">
        <f>IFERROR(VLOOKUP($A203,[2]P.O.!$A:$J,4,),"")</f>
        <v>FORNECIMENTO E COLOCAÇÃO DE PRATELEIRA EM PEDRA GRANÍTICA BRANCO AQUALUX E=2CM, 25CM DE LARGURA, ACABAMENTO POLIDO EM AMBOS OS LADOS.</v>
      </c>
      <c r="E203" s="91" t="str">
        <f>IFERROR(VLOOKUP($A203,[2]P.O.!$A:$J,5,),"")</f>
        <v>M2</v>
      </c>
      <c r="F203" s="139">
        <f>IFERROR(VLOOKUP($A203,[2]P.O.!$A:$J,6,),"")</f>
        <v>1.96</v>
      </c>
      <c r="G203" s="158">
        <f>IFERROR(VLOOKUP($A203,[2]P.O.!$A:$J,7,),"")</f>
        <v>472.55</v>
      </c>
      <c r="H203" s="158">
        <f>IFERROR(VLOOKUP($A203,[2]P.O.!$A:$J,8,),"")</f>
        <v>590.69000000000005</v>
      </c>
      <c r="I203" s="158">
        <f>IFERROR(VLOOKUP($A203,[2]P.O.!$A:$J,9,),"")</f>
        <v>1157.75</v>
      </c>
      <c r="J203" s="159">
        <f t="shared" si="26"/>
        <v>5.4478084935727009E-4</v>
      </c>
      <c r="K203" s="145">
        <f>IFERROR(VLOOKUP($A203,[2]P.O.!$A:$J,10,),"")</f>
        <v>0.25</v>
      </c>
      <c r="L203" s="265"/>
    </row>
    <row r="204" spans="1:12" s="232" customFormat="1" ht="33">
      <c r="A204" s="76" t="s">
        <v>310</v>
      </c>
      <c r="B204" s="91" t="str">
        <f>IFERROR(VLOOKUP($A204,[2]P.O.!$A:$J,2,),"")</f>
        <v>COMPS3078</v>
      </c>
      <c r="C204" s="91" t="str">
        <f>IFERROR(VLOOKUP($A204,[2]P.O.!$A:$J,3,),"")</f>
        <v>COMPOSIÇÃO</v>
      </c>
      <c r="D204" s="78" t="str">
        <f>IFERROR(VLOOKUP($A204,[2]P.O.!$A:$J,4,),"")</f>
        <v>FORNECIMENTO E COLOCAÇÃO DE DEGRAU DE PEDRA GRANÍTICA CINZA ANDORINHA, L= 28,5cm E=2cm, ACABAMENTO APICOADO</v>
      </c>
      <c r="E204" s="91" t="str">
        <f>IFERROR(VLOOKUP($A204,[2]P.O.!$A:$J,5,),"")</f>
        <v>M</v>
      </c>
      <c r="F204" s="139">
        <f>IFERROR(VLOOKUP($A204,[2]P.O.!$A:$J,6,),"")</f>
        <v>1.58</v>
      </c>
      <c r="G204" s="158">
        <f>IFERROR(VLOOKUP($A204,[2]P.O.!$A:$J,7,),"")</f>
        <v>113.60000000000001</v>
      </c>
      <c r="H204" s="158">
        <f>IFERROR(VLOOKUP($A204,[2]P.O.!$A:$J,8,),"")</f>
        <v>142</v>
      </c>
      <c r="I204" s="158">
        <f>IFERROR(VLOOKUP($A204,[2]P.O.!$A:$J,9,),"")</f>
        <v>224.36</v>
      </c>
      <c r="J204" s="159">
        <f t="shared" si="26"/>
        <v>1.0557290551655982E-4</v>
      </c>
      <c r="K204" s="145">
        <f>IFERROR(VLOOKUP($A204,[2]P.O.!$A:$J,10,),"")</f>
        <v>0.25</v>
      </c>
      <c r="L204" s="265"/>
    </row>
    <row r="205" spans="1:12" s="232" customFormat="1">
      <c r="A205" s="76"/>
      <c r="B205" s="91"/>
      <c r="C205" s="91"/>
      <c r="D205" s="78"/>
      <c r="E205" s="91"/>
      <c r="F205" s="139"/>
      <c r="G205" s="158"/>
      <c r="H205" s="158"/>
      <c r="I205" s="158"/>
      <c r="J205" s="159"/>
      <c r="K205" s="141"/>
    </row>
    <row r="206" spans="1:12" s="235" customFormat="1">
      <c r="A206" s="101" t="s">
        <v>311</v>
      </c>
      <c r="B206" s="102"/>
      <c r="C206" s="102"/>
      <c r="D206" s="103" t="str">
        <f>IFERROR(VLOOKUP($A206,[2]P.O.!$A:$J,4,),"")</f>
        <v>VIDRO / ESPELHO</v>
      </c>
      <c r="E206" s="102"/>
      <c r="F206" s="169"/>
      <c r="G206" s="170"/>
      <c r="H206" s="170"/>
      <c r="I206" s="170"/>
      <c r="J206" s="171"/>
      <c r="K206" s="246"/>
    </row>
    <row r="207" spans="1:12" s="232" customFormat="1">
      <c r="A207" s="76"/>
      <c r="B207" s="91"/>
      <c r="C207" s="91"/>
      <c r="D207" s="78"/>
      <c r="E207" s="91"/>
      <c r="F207" s="139"/>
      <c r="G207" s="158"/>
      <c r="H207" s="158"/>
      <c r="I207" s="158"/>
      <c r="J207" s="159"/>
      <c r="K207" s="141"/>
    </row>
    <row r="208" spans="1:12" s="232" customFormat="1" ht="49.5">
      <c r="A208" s="76" t="s">
        <v>312</v>
      </c>
      <c r="B208" s="91" t="str">
        <f>IFERROR(VLOOKUP($A208,[2]P.O.!$A:$J,2,),"")</f>
        <v>COMPS3101</v>
      </c>
      <c r="C208" s="91" t="str">
        <f>IFERROR(VLOOKUP($A208,[2]P.O.!$A:$J,3,),"")</f>
        <v>COMPOSIÇÃO</v>
      </c>
      <c r="D208" s="78" t="str">
        <f>IFERROR(VLOOKUP($A208,[2]P.O.!$A:$J,4,),"")</f>
        <v>FORNECIMENTO E MONTAGEM DE DIVISÓRIA EM VIDRO TEMPERADO (2,40X0,30)M, ACABAMENTO TRANSLÚCIDO, E=8MM, FIXADA EM PERFIL BAGUETE PARA VIDRO SOBRE MONTANTE DE ALUMÍNIO E TARUCEL, DIVISYSTEM OU EQUIVALENTE TÉCNICO.</v>
      </c>
      <c r="E208" s="91" t="str">
        <f>IFERROR(VLOOKUP($A208,[2]P.O.!$A:$J,5,),"")</f>
        <v>M2</v>
      </c>
      <c r="F208" s="139">
        <f>IFERROR(VLOOKUP($A208,[2]P.O.!$A:$J,6,),"")</f>
        <v>0.72</v>
      </c>
      <c r="G208" s="158">
        <f>IFERROR(VLOOKUP($A208,[2]P.O.!$A:$J,7,),"")</f>
        <v>171.74000000000004</v>
      </c>
      <c r="H208" s="158">
        <f>IFERROR(VLOOKUP($A208,[2]P.O.!$A:$J,8,),"")</f>
        <v>214.68</v>
      </c>
      <c r="I208" s="158">
        <f>IFERROR(VLOOKUP($A208,[2]P.O.!$A:$J,9,),"")</f>
        <v>154.57</v>
      </c>
      <c r="J208" s="159">
        <f t="shared" ref="J208:J211" si="27">IF(I208="","",I208/$E$777)</f>
        <v>7.2733125359665936E-5</v>
      </c>
      <c r="K208" s="145">
        <f>IFERROR(VLOOKUP($A208,[2]P.O.!$A:$J,10,),"")</f>
        <v>0.25</v>
      </c>
      <c r="L208" s="265"/>
    </row>
    <row r="209" spans="1:12" s="232" customFormat="1" ht="33">
      <c r="A209" s="76" t="s">
        <v>313</v>
      </c>
      <c r="B209" s="91" t="str">
        <f>IFERROR(VLOOKUP($A209,[2]P.O.!$A:$J,2,),"")</f>
        <v>COTSV6001</v>
      </c>
      <c r="C209" s="91" t="str">
        <f>IFERROR(VLOOKUP($A209,[2]P.O.!$A:$J,3,),"")</f>
        <v>COTAÇÃO</v>
      </c>
      <c r="D209" s="78" t="str">
        <f>IFERROR(VLOOKUP($A209,[2]P.O.!$A:$J,4,),"")</f>
        <v>FORNECIMENTO E MONTAGEM DE EXPOSITOR REFRIGERADO EM VIDRO RETO, 0,60X1,60M, PROFUNDIDADE 45CM, MODULUS EXPOSITORES OU EQUIVALENTE TÉCNICO.</v>
      </c>
      <c r="E209" s="91" t="str">
        <f>IFERROR(VLOOKUP($A209,[2]P.O.!$A:$J,5,),"")</f>
        <v>UND</v>
      </c>
      <c r="F209" s="139">
        <f>IFERROR(VLOOKUP($A209,[2]P.O.!$A:$J,6,),"")</f>
        <v>1</v>
      </c>
      <c r="G209" s="158">
        <f>IFERROR(VLOOKUP($A209,[2]P.O.!$A:$J,7,),"")</f>
        <v>3937.1614102371118</v>
      </c>
      <c r="H209" s="158">
        <f>IFERROR(VLOOKUP($A209,[2]P.O.!$A:$J,8,),"")</f>
        <v>4598.6000000000004</v>
      </c>
      <c r="I209" s="158">
        <f>IFERROR(VLOOKUP($A209,[2]P.O.!$A:$J,9,),"")</f>
        <v>4598.6000000000004</v>
      </c>
      <c r="J209" s="159">
        <f t="shared" si="27"/>
        <v>2.1638775330203781E-3</v>
      </c>
      <c r="K209" s="145">
        <f>IFERROR(VLOOKUP($A209,[2]P.O.!$A:$J,10,),"")</f>
        <v>0.16800000000000001</v>
      </c>
      <c r="L209" s="265"/>
    </row>
    <row r="210" spans="1:12" s="235" customFormat="1" ht="33">
      <c r="A210" s="76" t="s">
        <v>314</v>
      </c>
      <c r="B210" s="91" t="str">
        <f>IFERROR(VLOOKUP($A210,[2]P.O.!$A:$J,2,),"")</f>
        <v>COMPS3031</v>
      </c>
      <c r="C210" s="91" t="str">
        <f>IFERROR(VLOOKUP($A210,[2]P.O.!$A:$J,3,),"")</f>
        <v>COMPOSIÇÃO</v>
      </c>
      <c r="D210" s="78" t="str">
        <f>IFERROR(VLOOKUP($A210,[2]P.O.!$A:$J,4,),"")</f>
        <v>FORNECIMENTO E COLOCAÇÃO DE ESPELHO CRISTAL E=4MM, COLADO SOBRE ESTRUTURA EM COMPENSADO E=6MM, COM INCLINAÇÃO DE 10º PARA BANHEIRO ACESSÍVEL.</v>
      </c>
      <c r="E210" s="91" t="str">
        <f>IFERROR(VLOOKUP($A210,[2]P.O.!$A:$J,5,),"")</f>
        <v>M2</v>
      </c>
      <c r="F210" s="139">
        <f>IFERROR(VLOOKUP($A210,[2]P.O.!$A:$J,6,),"")</f>
        <v>0.5</v>
      </c>
      <c r="G210" s="158">
        <f>IFERROR(VLOOKUP($A210,[2]P.O.!$A:$J,7,),"")</f>
        <v>368.88</v>
      </c>
      <c r="H210" s="158">
        <f>IFERROR(VLOOKUP($A210,[2]P.O.!$A:$J,8,),"")</f>
        <v>461.1</v>
      </c>
      <c r="I210" s="158">
        <f>IFERROR(VLOOKUP($A210,[2]P.O.!$A:$J,9,),"")</f>
        <v>230.55</v>
      </c>
      <c r="J210" s="159">
        <f t="shared" si="27"/>
        <v>1.0848561850081506E-4</v>
      </c>
      <c r="K210" s="145">
        <f>IFERROR(VLOOKUP($A210,[2]P.O.!$A:$J,10,),"")</f>
        <v>0.25</v>
      </c>
      <c r="L210" s="265"/>
    </row>
    <row r="211" spans="1:12" s="232" customFormat="1" ht="33">
      <c r="A211" s="76" t="s">
        <v>315</v>
      </c>
      <c r="B211" s="91" t="str">
        <f>IFERROR(VLOOKUP($A211,[2]P.O.!$A:$J,2,),"")</f>
        <v>74125/002</v>
      </c>
      <c r="C211" s="91" t="str">
        <f>IFERROR(VLOOKUP($A211,[2]P.O.!$A:$J,3,),"")</f>
        <v>SINAPI SERVIÇO</v>
      </c>
      <c r="D211" s="78" t="str">
        <f>IFERROR(VLOOKUP($A211,[2]P.O.!$A:$J,4,),"")</f>
        <v>ESPELHO CRISTAL ESPESSURA 4MM, COM MOLDURA EM ALUMINIO E COMPENSADO 6M   M PLASTIFICADO COLADO</v>
      </c>
      <c r="E211" s="91" t="str">
        <f>IFERROR(VLOOKUP($A211,[2]P.O.!$A:$J,5,),"")</f>
        <v>M2</v>
      </c>
      <c r="F211" s="139">
        <f>IFERROR(VLOOKUP($A211,[2]P.O.!$A:$J,6,),"")</f>
        <v>5.08</v>
      </c>
      <c r="G211" s="158">
        <f>IFERROR(VLOOKUP($A211,[2]P.O.!$A:$J,7,),"")</f>
        <v>269.08</v>
      </c>
      <c r="H211" s="158">
        <f>IFERROR(VLOOKUP($A211,[2]P.O.!$A:$J,8,),"")</f>
        <v>336.35</v>
      </c>
      <c r="I211" s="158">
        <f>IFERROR(VLOOKUP($A211,[2]P.O.!$A:$J,9,),"")</f>
        <v>1708.66</v>
      </c>
      <c r="J211" s="159">
        <f t="shared" si="27"/>
        <v>8.0401230495598635E-4</v>
      </c>
      <c r="K211" s="145">
        <f>IFERROR(VLOOKUP($A211,[2]P.O.!$A:$J,10,),"")</f>
        <v>0.25</v>
      </c>
      <c r="L211" s="265"/>
    </row>
    <row r="212" spans="1:12" s="232" customFormat="1">
      <c r="A212" s="76"/>
      <c r="B212" s="91"/>
      <c r="C212" s="91"/>
      <c r="D212" s="78"/>
      <c r="E212" s="91"/>
      <c r="F212" s="139"/>
      <c r="G212" s="158"/>
      <c r="H212" s="158"/>
      <c r="I212" s="158"/>
      <c r="J212" s="159"/>
      <c r="K212" s="141"/>
    </row>
    <row r="213" spans="1:12" s="235" customFormat="1">
      <c r="A213" s="101" t="s">
        <v>316</v>
      </c>
      <c r="B213" s="102"/>
      <c r="C213" s="102"/>
      <c r="D213" s="103" t="str">
        <f>IFERROR(VLOOKUP($A213,[2]P.O.!$A:$J,4,),"")</f>
        <v>COMPLEMENTOS</v>
      </c>
      <c r="E213" s="102"/>
      <c r="F213" s="169"/>
      <c r="G213" s="170"/>
      <c r="H213" s="170"/>
      <c r="I213" s="170"/>
      <c r="J213" s="171"/>
      <c r="K213" s="246"/>
    </row>
    <row r="214" spans="1:12" s="232" customFormat="1">
      <c r="A214" s="76"/>
      <c r="B214" s="91"/>
      <c r="C214" s="91"/>
      <c r="D214" s="78"/>
      <c r="E214" s="91"/>
      <c r="F214" s="139"/>
      <c r="G214" s="158"/>
      <c r="H214" s="158"/>
      <c r="I214" s="158"/>
      <c r="J214" s="159"/>
      <c r="K214" s="141"/>
    </row>
    <row r="215" spans="1:12" s="232" customFormat="1" ht="33">
      <c r="A215" s="76" t="s">
        <v>317</v>
      </c>
      <c r="B215" s="91" t="str">
        <f>IFERROR(VLOOKUP($A215,[2]P.O.!$A:$J,2,),"")</f>
        <v>COMPS3032</v>
      </c>
      <c r="C215" s="91" t="str">
        <f>IFERROR(VLOOKUP($A215,[2]P.O.!$A:$J,3,),"")</f>
        <v>COMPOSIÇÃO</v>
      </c>
      <c r="D215" s="78" t="str">
        <f>IFERROR(VLOOKUP($A215,[2]P.O.!$A:$J,4,),"")</f>
        <v>FORNECIMENTO E COLOCAÇÃO DE DISPENSER PARA SABONETE, LINHA URBAN, REF.: C19161, COR BRANCA, PREMISSE OU EQUIVALENTE TÉCNICO.</v>
      </c>
      <c r="E215" s="91" t="str">
        <f>IFERROR(VLOOKUP($A215,[2]P.O.!$A:$J,5,),"")</f>
        <v>UND</v>
      </c>
      <c r="F215" s="139">
        <f>IFERROR(VLOOKUP($A215,[2]P.O.!$A:$J,6,),"")</f>
        <v>5</v>
      </c>
      <c r="G215" s="158">
        <f>IFERROR(VLOOKUP($A215,[2]P.O.!$A:$J,7,),"")</f>
        <v>26.946445999999998</v>
      </c>
      <c r="H215" s="158">
        <f>IFERROR(VLOOKUP($A215,[2]P.O.!$A:$J,8,),"")</f>
        <v>33.68</v>
      </c>
      <c r="I215" s="158">
        <f>IFERROR(VLOOKUP($A215,[2]P.O.!$A:$J,9,),"")</f>
        <v>168.4</v>
      </c>
      <c r="J215" s="159">
        <f t="shared" ref="J215:J221" si="28">IF(I215="","",I215/$E$777)</f>
        <v>7.9240850815602928E-5</v>
      </c>
      <c r="K215" s="145">
        <f>IFERROR(VLOOKUP($A215,[2]P.O.!$A:$J,10,),"")</f>
        <v>0.25</v>
      </c>
      <c r="L215" s="265"/>
    </row>
    <row r="216" spans="1:12" s="232" customFormat="1" ht="33">
      <c r="A216" s="76" t="s">
        <v>318</v>
      </c>
      <c r="B216" s="91" t="str">
        <f>IFERROR(VLOOKUP($A216,[2]P.O.!$A:$J,2,),"")</f>
        <v>COMPS3033</v>
      </c>
      <c r="C216" s="91" t="str">
        <f>IFERROR(VLOOKUP($A216,[2]P.O.!$A:$J,3,),"")</f>
        <v>COMPOSIÇÃO</v>
      </c>
      <c r="D216" s="78" t="str">
        <f>IFERROR(VLOOKUP($A216,[2]P.O.!$A:$J,4,),"")</f>
        <v>FORNECIMENTO E COLOCAÇÃO DE TOALHEIRO COM ALAVANCA, LINHA BOBINA, REF.: C19432, COR BRANCA, PREMISSE OU EQUIVALENTE TÉCNICO.</v>
      </c>
      <c r="E216" s="91" t="str">
        <f>IFERROR(VLOOKUP($A216,[2]P.O.!$A:$J,5,),"")</f>
        <v>UND</v>
      </c>
      <c r="F216" s="139">
        <f>IFERROR(VLOOKUP($A216,[2]P.O.!$A:$J,6,),"")</f>
        <v>7</v>
      </c>
      <c r="G216" s="158">
        <f>IFERROR(VLOOKUP($A216,[2]P.O.!$A:$J,7,),"")</f>
        <v>184.95999999999998</v>
      </c>
      <c r="H216" s="158">
        <f>IFERROR(VLOOKUP($A216,[2]P.O.!$A:$J,8,),"")</f>
        <v>231.2</v>
      </c>
      <c r="I216" s="158">
        <f>IFERROR(VLOOKUP($A216,[2]P.O.!$A:$J,9,),"")</f>
        <v>1618.4</v>
      </c>
      <c r="J216" s="159">
        <f t="shared" si="28"/>
        <v>7.6154033824211271E-4</v>
      </c>
      <c r="K216" s="145">
        <f>IFERROR(VLOOKUP($A216,[2]P.O.!$A:$J,10,),"")</f>
        <v>0.25</v>
      </c>
      <c r="L216" s="265"/>
    </row>
    <row r="217" spans="1:12" s="235" customFormat="1" ht="33">
      <c r="A217" s="76" t="s">
        <v>319</v>
      </c>
      <c r="B217" s="91" t="str">
        <f>IFERROR(VLOOKUP($A217,[2]P.O.!$A:$J,2,),"")</f>
        <v>COMPS3034</v>
      </c>
      <c r="C217" s="91" t="str">
        <f>IFERROR(VLOOKUP($A217,[2]P.O.!$A:$J,3,),"")</f>
        <v>COMPOSIÇÃO</v>
      </c>
      <c r="D217" s="78" t="str">
        <f>IFERROR(VLOOKUP($A217,[2]P.O.!$A:$J,4,),"")</f>
        <v>FORNECIMENTO E COLOCAÇÃO DE DISPENSER MÚLTIPLO PARA PAPEL HIGIÊNICO, LINHA URBAN, REF.: C19281, COR BRANCA, PREMISSE OU EQUIVALENTE TÉCNICO.</v>
      </c>
      <c r="E217" s="91" t="str">
        <f>IFERROR(VLOOKUP($A217,[2]P.O.!$A:$J,5,),"")</f>
        <v>UND</v>
      </c>
      <c r="F217" s="139">
        <f>IFERROR(VLOOKUP($A217,[2]P.O.!$A:$J,6,),"")</f>
        <v>7</v>
      </c>
      <c r="G217" s="158">
        <f>IFERROR(VLOOKUP($A217,[2]P.O.!$A:$J,7,),"")</f>
        <v>30.150000000000002</v>
      </c>
      <c r="H217" s="158">
        <f>IFERROR(VLOOKUP($A217,[2]P.O.!$A:$J,8,),"")</f>
        <v>37.69</v>
      </c>
      <c r="I217" s="158">
        <f>IFERROR(VLOOKUP($A217,[2]P.O.!$A:$J,9,),"")</f>
        <v>263.83</v>
      </c>
      <c r="J217" s="159">
        <f t="shared" si="28"/>
        <v>1.2414556811568005E-4</v>
      </c>
      <c r="K217" s="145">
        <f>IFERROR(VLOOKUP($A217,[2]P.O.!$A:$J,10,),"")</f>
        <v>0.25</v>
      </c>
      <c r="L217" s="265"/>
    </row>
    <row r="218" spans="1:12" s="232" customFormat="1" ht="33">
      <c r="A218" s="76" t="s">
        <v>320</v>
      </c>
      <c r="B218" s="91" t="str">
        <f>IFERROR(VLOOKUP($A218,[2]P.O.!$A:$J,2,),"")</f>
        <v>COTIS3039</v>
      </c>
      <c r="C218" s="91" t="str">
        <f>IFERROR(VLOOKUP($A218,[2]P.O.!$A:$J,3,),"")</f>
        <v>COTAÇÃO</v>
      </c>
      <c r="D218" s="78" t="str">
        <f>IFERROR(VLOOKUP($A218,[2]P.O.!$A:$J,4,),"")</f>
        <v>FORNECIMENTO DE LIXEIRA INOX COM ARO INOX, Ø 25x46cm, SEM TAMPA, LINHA DECORLINE, BRINOX OU EQUIVALENTE TÉCNICO.</v>
      </c>
      <c r="E218" s="91" t="str">
        <f>IFERROR(VLOOKUP($A218,[2]P.O.!$A:$J,5,),"")</f>
        <v>UND</v>
      </c>
      <c r="F218" s="139">
        <f>IFERROR(VLOOKUP($A218,[2]P.O.!$A:$J,6,),"")</f>
        <v>2</v>
      </c>
      <c r="G218" s="158">
        <f>IFERROR(VLOOKUP($A218,[2]P.O.!$A:$J,7,),"")</f>
        <v>119.65372000440698</v>
      </c>
      <c r="H218" s="158">
        <f>IFERROR(VLOOKUP($A218,[2]P.O.!$A:$J,8,),"")</f>
        <v>139.76</v>
      </c>
      <c r="I218" s="158">
        <f>IFERROR(VLOOKUP($A218,[2]P.O.!$A:$J,9,),"")</f>
        <v>279.52</v>
      </c>
      <c r="J218" s="159">
        <f t="shared" si="28"/>
        <v>1.3152851912100552E-4</v>
      </c>
      <c r="K218" s="145">
        <f>IFERROR(VLOOKUP($A218,[2]P.O.!$A:$J,10,),"")</f>
        <v>0.16800000000000001</v>
      </c>
      <c r="L218" s="265"/>
    </row>
    <row r="219" spans="1:12" s="232" customFormat="1" ht="33">
      <c r="A219" s="76" t="s">
        <v>321</v>
      </c>
      <c r="B219" s="91" t="str">
        <f>IFERROR(VLOOKUP($A219,[2]P.O.!$A:$J,2,),"")</f>
        <v>COTIS3040</v>
      </c>
      <c r="C219" s="91" t="str">
        <f>IFERROR(VLOOKUP($A219,[2]P.O.!$A:$J,3,),"")</f>
        <v>COTAÇÃO</v>
      </c>
      <c r="D219" s="78" t="str">
        <f>IFERROR(VLOOKUP($A219,[2]P.O.!$A:$J,4,),"")</f>
        <v>FORNECIMENTO DE LIXEIRA INOX COM ARO PRETO, Ø 30x70cm, SEM TAMPA, LINHA DECORLINE, BRINOX OU EQUIVALENTE TÉCNICO.</v>
      </c>
      <c r="E219" s="91" t="str">
        <f>IFERROR(VLOOKUP($A219,[2]P.O.!$A:$J,5,),"")</f>
        <v>UND</v>
      </c>
      <c r="F219" s="139">
        <f>IFERROR(VLOOKUP($A219,[2]P.O.!$A:$J,6,),"")</f>
        <v>6</v>
      </c>
      <c r="G219" s="158">
        <f>IFERROR(VLOOKUP($A219,[2]P.O.!$A:$J,7,),"")</f>
        <v>193.05399080132409</v>
      </c>
      <c r="H219" s="158">
        <f>IFERROR(VLOOKUP($A219,[2]P.O.!$A:$J,8,),"")</f>
        <v>225.49</v>
      </c>
      <c r="I219" s="158">
        <f>IFERROR(VLOOKUP($A219,[2]P.O.!$A:$J,9,),"")</f>
        <v>1352.94</v>
      </c>
      <c r="J219" s="159">
        <f t="shared" si="28"/>
        <v>6.3662777139229115E-4</v>
      </c>
      <c r="K219" s="145">
        <f>IFERROR(VLOOKUP($A219,[2]P.O.!$A:$J,10,),"")</f>
        <v>0.16800000000000001</v>
      </c>
      <c r="L219" s="265"/>
    </row>
    <row r="220" spans="1:12" s="232" customFormat="1" ht="33">
      <c r="A220" s="76" t="s">
        <v>322</v>
      </c>
      <c r="B220" s="91" t="str">
        <f>IFERROR(VLOOKUP($A220,[2]P.O.!$A:$J,2,),"")</f>
        <v>COMPS3035</v>
      </c>
      <c r="C220" s="91" t="str">
        <f>IFERROR(VLOOKUP($A220,[2]P.O.!$A:$J,3,),"")</f>
        <v>COMPOSIÇÃO</v>
      </c>
      <c r="D220" s="78" t="str">
        <f>IFERROR(VLOOKUP($A220,[2]P.O.!$A:$J,4,),"")</f>
        <v>FORNECIMENTO E COLOCAÇÃO DE CABIDE CROMADO LINHA EVIDENCE, REF. 2060 C EVD, DECA OU EQUIVALENTE TÉCNICO.</v>
      </c>
      <c r="E220" s="91" t="str">
        <f>IFERROR(VLOOKUP($A220,[2]P.O.!$A:$J,5,),"")</f>
        <v>UND</v>
      </c>
      <c r="F220" s="139">
        <f>IFERROR(VLOOKUP($A220,[2]P.O.!$A:$J,6,),"")</f>
        <v>1</v>
      </c>
      <c r="G220" s="158">
        <f>IFERROR(VLOOKUP($A220,[2]P.O.!$A:$J,7,),"")</f>
        <v>65.430000000000007</v>
      </c>
      <c r="H220" s="158">
        <f>IFERROR(VLOOKUP($A220,[2]P.O.!$A:$J,8,),"")</f>
        <v>81.790000000000006</v>
      </c>
      <c r="I220" s="158">
        <f>IFERROR(VLOOKUP($A220,[2]P.O.!$A:$J,9,),"")</f>
        <v>81.790000000000006</v>
      </c>
      <c r="J220" s="159">
        <f t="shared" si="28"/>
        <v>3.848639660456154E-5</v>
      </c>
      <c r="K220" s="145">
        <f>IFERROR(VLOOKUP($A220,[2]P.O.!$A:$J,10,),"")</f>
        <v>0.25</v>
      </c>
      <c r="L220" s="265"/>
    </row>
    <row r="221" spans="1:12" s="232" customFormat="1" ht="33">
      <c r="A221" s="76" t="s">
        <v>323</v>
      </c>
      <c r="B221" s="91" t="str">
        <f>IFERROR(VLOOKUP($A221,[2]P.O.!$A:$J,2,),"")</f>
        <v>COMPS3036</v>
      </c>
      <c r="C221" s="91" t="str">
        <f>IFERROR(VLOOKUP($A221,[2]P.O.!$A:$J,3,),"")</f>
        <v>COMPOSIÇÃO</v>
      </c>
      <c r="D221" s="78" t="str">
        <f>IFERROR(VLOOKUP($A221,[2]P.O.!$A:$J,4,),"")</f>
        <v>FORNECIMENTO E COLOCAÇÃO DE BARRA DE APOIO 80CM, EM AÇO INOXIDÁVEL, CÓD.: 00446416, DOCOL OU EQUIVALENTE TÉCNICO.</v>
      </c>
      <c r="E221" s="91" t="str">
        <f>IFERROR(VLOOKUP($A221,[2]P.O.!$A:$J,5,),"")</f>
        <v>UND</v>
      </c>
      <c r="F221" s="139">
        <f>IFERROR(VLOOKUP($A221,[2]P.O.!$A:$J,6,),"")</f>
        <v>2</v>
      </c>
      <c r="G221" s="158">
        <f>IFERROR(VLOOKUP($A221,[2]P.O.!$A:$J,7,),"")</f>
        <v>322.17</v>
      </c>
      <c r="H221" s="158">
        <f>IFERROR(VLOOKUP($A221,[2]P.O.!$A:$J,8,),"")</f>
        <v>402.71</v>
      </c>
      <c r="I221" s="158">
        <f>IFERROR(VLOOKUP($A221,[2]P.O.!$A:$J,9,),"")</f>
        <v>805.42</v>
      </c>
      <c r="J221" s="159">
        <f t="shared" si="28"/>
        <v>3.7899148494004099E-4</v>
      </c>
      <c r="K221" s="145">
        <f>IFERROR(VLOOKUP($A221,[2]P.O.!$A:$J,10,),"")</f>
        <v>0.25</v>
      </c>
      <c r="L221" s="265"/>
    </row>
    <row r="222" spans="1:12" s="232" customFormat="1">
      <c r="A222" s="76"/>
      <c r="B222" s="91"/>
      <c r="C222" s="91"/>
      <c r="D222" s="78"/>
      <c r="E222" s="91"/>
      <c r="F222" s="139"/>
      <c r="G222" s="158"/>
      <c r="H222" s="158"/>
      <c r="I222" s="158"/>
      <c r="J222" s="159"/>
      <c r="K222" s="141"/>
    </row>
    <row r="223" spans="1:12" s="235" customFormat="1">
      <c r="A223" s="101" t="s">
        <v>324</v>
      </c>
      <c r="B223" s="102"/>
      <c r="C223" s="102"/>
      <c r="D223" s="103" t="str">
        <f>IFERROR(VLOOKUP($A223,[2]P.O.!$A:$J,4,),"")</f>
        <v>EQUIPAMENTOS</v>
      </c>
      <c r="E223" s="102"/>
      <c r="F223" s="169"/>
      <c r="G223" s="170"/>
      <c r="H223" s="170"/>
      <c r="I223" s="170"/>
      <c r="J223" s="171"/>
      <c r="K223" s="246"/>
    </row>
    <row r="224" spans="1:12" s="232" customFormat="1">
      <c r="A224" s="76"/>
      <c r="B224" s="91"/>
      <c r="C224" s="91"/>
      <c r="D224" s="78"/>
      <c r="E224" s="91"/>
      <c r="F224" s="139"/>
      <c r="G224" s="158"/>
      <c r="H224" s="158"/>
      <c r="I224" s="158"/>
      <c r="J224" s="159"/>
      <c r="K224" s="141"/>
    </row>
    <row r="225" spans="1:12" s="232" customFormat="1" ht="99">
      <c r="A225" s="76" t="s">
        <v>325</v>
      </c>
      <c r="B225" s="91" t="str">
        <f>IFERROR(VLOOKUP($A225,[2]P.O.!$A:$J,2,),"")</f>
        <v>COTSV48001</v>
      </c>
      <c r="C225" s="91" t="str">
        <f>IFERROR(VLOOKUP($A225,[2]P.O.!$A:$J,3,),"")</f>
        <v>COTAÇÃO</v>
      </c>
      <c r="D225" s="78" t="str">
        <f>IFERROR(VLOOKUP($A225,[2]P.O.!$A:$J,4,),"")</f>
        <v>FORNECIMENTO E INSTALAÇÃO DE ELEVADOR DE USO RESTRITO - ACESSIBILIDADE, MODELO EL 2000, PERCURSO DE 4,67m COM APENAS 1 PARADA E COM ACESSO PELO MESMO LADO. ACABAMENTO DA CABINA EM AÇO INOX COM CAIXA DE CORRIDA EM VIDRO, DIMENSÕES INTERNAS DA CABINA 90x120cm, DIMENSÕES INTERNAS DA CAIXA DE CORRIDA 145x150cm. PÉ DIREITO DA ULTIMA PARADA 4,30m, INCLUI CASA DE MÁQUINA COMPACTA E POÇO DE 25cm. MONTELE OU EQUIVALENTE TÉCNICO. ALIMENTAÇÃO TRIFÁSICA 380V</v>
      </c>
      <c r="E225" s="91" t="str">
        <f>IFERROR(VLOOKUP($A225,[2]P.O.!$A:$J,5,),"")</f>
        <v>UND</v>
      </c>
      <c r="F225" s="139">
        <f>IFERROR(VLOOKUP($A225,[2]P.O.!$A:$J,6,),"")</f>
        <v>1</v>
      </c>
      <c r="G225" s="158">
        <f>IFERROR(VLOOKUP($A225,[2]P.O.!$A:$J,7,),"")</f>
        <v>83427.027027027027</v>
      </c>
      <c r="H225" s="158">
        <f>IFERROR(VLOOKUP($A225,[2]P.O.!$A:$J,8,),"")</f>
        <v>97442.77</v>
      </c>
      <c r="I225" s="158">
        <f>IFERROR(VLOOKUP($A225,[2]P.O.!$A:$J,9,),"")</f>
        <v>97442.77</v>
      </c>
      <c r="J225" s="159">
        <f t="shared" ref="J225" si="29">IF(I225="","",I225/$E$777)</f>
        <v>4.585182898235813E-2</v>
      </c>
      <c r="K225" s="145">
        <f>IFERROR(VLOOKUP($A225,[2]P.O.!$A:$J,10,),"")</f>
        <v>0.16800000000000001</v>
      </c>
      <c r="L225" s="265"/>
    </row>
    <row r="226" spans="1:12" s="232" customFormat="1">
      <c r="A226" s="76"/>
      <c r="B226" s="91"/>
      <c r="C226" s="91"/>
      <c r="D226" s="78"/>
      <c r="E226" s="91"/>
      <c r="F226" s="139"/>
      <c r="G226" s="158"/>
      <c r="H226" s="158"/>
      <c r="I226" s="158"/>
      <c r="J226" s="159"/>
      <c r="K226" s="141"/>
    </row>
    <row r="227" spans="1:12" s="235" customFormat="1">
      <c r="A227" s="101" t="s">
        <v>326</v>
      </c>
      <c r="B227" s="102"/>
      <c r="C227" s="102"/>
      <c r="D227" s="103" t="str">
        <f>IFERROR(VLOOKUP($A227,[2]P.O.!$A:$J,4,),"")</f>
        <v>CAIXA D'ÁGUA</v>
      </c>
      <c r="E227" s="102"/>
      <c r="F227" s="169"/>
      <c r="G227" s="170"/>
      <c r="H227" s="170"/>
      <c r="I227" s="170"/>
      <c r="J227" s="171"/>
      <c r="K227" s="246"/>
    </row>
    <row r="228" spans="1:12" s="232" customFormat="1">
      <c r="A228" s="76"/>
      <c r="B228" s="91"/>
      <c r="C228" s="91"/>
      <c r="D228" s="78"/>
      <c r="E228" s="91"/>
      <c r="F228" s="139"/>
      <c r="G228" s="158"/>
      <c r="H228" s="158"/>
      <c r="I228" s="158"/>
      <c r="J228" s="159"/>
      <c r="K228" s="141"/>
    </row>
    <row r="229" spans="1:12" s="232" customFormat="1" ht="49.5">
      <c r="A229" s="76" t="s">
        <v>327</v>
      </c>
      <c r="B229" s="91" t="str">
        <f>IFERROR(VLOOKUP($A229,[2]P.O.!$A:$J,2,),"")</f>
        <v>COMPS3037</v>
      </c>
      <c r="C229" s="91" t="str">
        <f>IFERROR(VLOOKUP($A229,[2]P.O.!$A:$J,3,),"")</f>
        <v>COMPOSIÇÃO</v>
      </c>
      <c r="D229" s="78" t="str">
        <f>IFERROR(VLOOKUP($A229,[2]P.O.!$A:$J,4,),"")</f>
        <v>EXECUÇÃO DE IMPERMEABILIZAÇÃO DE CAIXA D'ÁGUA EM CONCRETO, COM MANTA IMPERMEABILIZANTE TIPO ASFALTICA, REBOCADA COM ARGAMASSA NO TRAÇO 1:4 COM ADITIVO IMPERMEABILIZANTE SIKA 1 NAS PROPORÇÕES INDICADAS PELO FABRICANTE.</v>
      </c>
      <c r="E229" s="91" t="str">
        <f>IFERROR(VLOOKUP($A229,[2]P.O.!$A:$J,5,),"")</f>
        <v>M2</v>
      </c>
      <c r="F229" s="139">
        <f>IFERROR(VLOOKUP($A229,[2]P.O.!$A:$J,6,),"")</f>
        <v>17.96</v>
      </c>
      <c r="G229" s="158">
        <f>IFERROR(VLOOKUP($A229,[2]P.O.!$A:$J,7,),"")</f>
        <v>75</v>
      </c>
      <c r="H229" s="158">
        <f>IFERROR(VLOOKUP($A229,[2]P.O.!$A:$J,8,),"")</f>
        <v>93.75</v>
      </c>
      <c r="I229" s="158">
        <f>IFERROR(VLOOKUP($A229,[2]P.O.!$A:$J,9,),"")</f>
        <v>1683.75</v>
      </c>
      <c r="J229" s="159">
        <f t="shared" ref="J229:J230" si="30">IF(I229="","",I229/$E$777)</f>
        <v>7.9229087031336951E-4</v>
      </c>
      <c r="K229" s="145">
        <f>IFERROR(VLOOKUP($A229,[2]P.O.!$A:$J,10,),"")</f>
        <v>0.25</v>
      </c>
      <c r="L229" s="265"/>
    </row>
    <row r="230" spans="1:12" s="232" customFormat="1" ht="33">
      <c r="A230" s="76" t="s">
        <v>328</v>
      </c>
      <c r="B230" s="91" t="str">
        <f>IFERROR(VLOOKUP($A230,[2]P.O.!$A:$J,2,),"")</f>
        <v>COMPS3038</v>
      </c>
      <c r="C230" s="91" t="str">
        <f>IFERROR(VLOOKUP($A230,[2]P.O.!$A:$J,3,),"")</f>
        <v>COMPOSIÇÃO</v>
      </c>
      <c r="D230" s="78" t="str">
        <f>IFERROR(VLOOKUP($A230,[2]P.O.!$A:$J,4,),"")</f>
        <v>FORNECIMENTO E COLOCAÇÃO DE CAIXA D'ÁGUA DE POLIETILENO, CAPACIDADE 1.500L, TIGRE OU EQUIVALENTE TÉCNICO.</v>
      </c>
      <c r="E230" s="91" t="str">
        <f>IFERROR(VLOOKUP($A230,[2]P.O.!$A:$J,5,),"")</f>
        <v>UND</v>
      </c>
      <c r="F230" s="139">
        <f>IFERROR(VLOOKUP($A230,[2]P.O.!$A:$J,6,),"")</f>
        <v>2</v>
      </c>
      <c r="G230" s="158">
        <f>IFERROR(VLOOKUP($A230,[2]P.O.!$A:$J,7,),"")</f>
        <v>1048.58</v>
      </c>
      <c r="H230" s="158">
        <f>IFERROR(VLOOKUP($A230,[2]P.O.!$A:$J,8,),"")</f>
        <v>1310.73</v>
      </c>
      <c r="I230" s="158">
        <f>IFERROR(VLOOKUP($A230,[2]P.O.!$A:$J,9,),"")</f>
        <v>2621.46</v>
      </c>
      <c r="J230" s="159">
        <f t="shared" si="30"/>
        <v>1.2335315960752401E-3</v>
      </c>
      <c r="K230" s="145">
        <f>IFERROR(VLOOKUP($A230,[2]P.O.!$A:$J,10,),"")</f>
        <v>0.25</v>
      </c>
      <c r="L230" s="265"/>
    </row>
    <row r="231" spans="1:12" s="235" customFormat="1">
      <c r="A231" s="76"/>
      <c r="B231" s="91"/>
      <c r="C231" s="91"/>
      <c r="D231" s="78"/>
      <c r="E231" s="91"/>
      <c r="F231" s="139"/>
      <c r="G231" s="158"/>
      <c r="H231" s="158"/>
      <c r="I231" s="158"/>
      <c r="J231" s="159"/>
      <c r="K231" s="141"/>
    </row>
    <row r="232" spans="1:12" s="235" customFormat="1">
      <c r="A232" s="101" t="s">
        <v>329</v>
      </c>
      <c r="B232" s="102"/>
      <c r="C232" s="102"/>
      <c r="D232" s="103" t="str">
        <f>IFERROR(VLOOKUP($A232,[2]P.O.!$A:$J,4,),"")</f>
        <v>GUARDA-CORPO/CORRIMÃO</v>
      </c>
      <c r="E232" s="102"/>
      <c r="F232" s="169"/>
      <c r="G232" s="170"/>
      <c r="H232" s="170"/>
      <c r="I232" s="170"/>
      <c r="J232" s="171"/>
      <c r="K232" s="246"/>
    </row>
    <row r="233" spans="1:12" s="232" customFormat="1">
      <c r="A233" s="76"/>
      <c r="B233" s="91"/>
      <c r="C233" s="91"/>
      <c r="D233" s="78"/>
      <c r="E233" s="91"/>
      <c r="F233" s="139"/>
      <c r="G233" s="158"/>
      <c r="H233" s="158"/>
      <c r="I233" s="158"/>
      <c r="J233" s="159"/>
      <c r="K233" s="141"/>
    </row>
    <row r="234" spans="1:12" s="232" customFormat="1" ht="66">
      <c r="A234" s="76" t="s">
        <v>330</v>
      </c>
      <c r="B234" s="91" t="str">
        <f>IFERROR(VLOOKUP($A234,[2]P.O.!$A:$J,2,),"")</f>
        <v>COMPS3039</v>
      </c>
      <c r="C234" s="91" t="str">
        <f>IFERROR(VLOOKUP($A234,[2]P.O.!$A:$J,3,),"")</f>
        <v>COMPOSIÇÃO</v>
      </c>
      <c r="D234" s="78" t="str">
        <f>IFERROR(VLOOKUP($A234,[2]P.O.!$A:$J,4,),"")</f>
        <v>FORNECIMENTO E INSTALAÇÃO DE GUARDA-CORPO TUBULAR EM AÇO INOX, COM CORRIMÃO EM AÇO INOX, H=70CM. COM TRAVESSAS, ACABAMENTO ESCOVADO E EXTREMIDADES CURVADAS, FIXADO NO PISO COM FLANGE EM AÇO INOX DE Ø = 75MM, PARA MONTANTE DE Ø = 1.1/2" CONFORME DETALHE.</v>
      </c>
      <c r="E234" s="91" t="str">
        <f>IFERROR(VLOOKUP($A234,[2]P.O.!$A:$J,5,),"")</f>
        <v>M</v>
      </c>
      <c r="F234" s="139">
        <f>IFERROR(VLOOKUP($A234,[2]P.O.!$A:$J,6,),"")</f>
        <v>6.42</v>
      </c>
      <c r="G234" s="158">
        <f>IFERROR(VLOOKUP($A234,[2]P.O.!$A:$J,7,),"")</f>
        <v>695.93000000000006</v>
      </c>
      <c r="H234" s="158">
        <f>IFERROR(VLOOKUP($A234,[2]P.O.!$A:$J,8,),"")</f>
        <v>869.91</v>
      </c>
      <c r="I234" s="158">
        <f>IFERROR(VLOOKUP($A234,[2]P.O.!$A:$J,9,),"")</f>
        <v>5584.82</v>
      </c>
      <c r="J234" s="159">
        <f t="shared" ref="J234:J235" si="31">IF(I234="","",I234/$E$777)</f>
        <v>2.6279447057719449E-3</v>
      </c>
      <c r="K234" s="145">
        <f>IFERROR(VLOOKUP($A234,[2]P.O.!$A:$J,10,),"")</f>
        <v>0.25</v>
      </c>
      <c r="L234" s="265"/>
    </row>
    <row r="235" spans="1:12" s="232" customFormat="1" ht="49.5">
      <c r="A235" s="76" t="s">
        <v>331</v>
      </c>
      <c r="B235" s="91" t="str">
        <f>IFERROR(VLOOKUP($A235,[2]P.O.!$A:$J,2,),"")</f>
        <v>COMPS3040</v>
      </c>
      <c r="C235" s="91" t="str">
        <f>IFERROR(VLOOKUP($A235,[2]P.O.!$A:$J,3,),"")</f>
        <v>COMPOSIÇÃO</v>
      </c>
      <c r="D235" s="78" t="str">
        <f>IFERROR(VLOOKUP($A235,[2]P.O.!$A:$J,4,),"")</f>
        <v xml:space="preserve">FORNECIMENTO E INSTALAÇÃO DE GUARDA-CORPO TUBULAR EM AÇO INOX, COM TRAVESSAS, ACABAMENTO ESCOVADO E EXTREMIDADES CURVADAS, FIXADO NO PISO COM FLANGE EM AÇO INOX DE Ø = 75MM, PARA MONTANTE DE Ø = 1.1/2" CONFORME DETALHE.  </v>
      </c>
      <c r="E235" s="91" t="str">
        <f>IFERROR(VLOOKUP($A235,[2]P.O.!$A:$J,5,),"")</f>
        <v>M</v>
      </c>
      <c r="F235" s="139">
        <f>IFERROR(VLOOKUP($A235,[2]P.O.!$A:$J,6,),"")</f>
        <v>9.32</v>
      </c>
      <c r="G235" s="158">
        <f>IFERROR(VLOOKUP($A235,[2]P.O.!$A:$J,7,),"")</f>
        <v>648.59</v>
      </c>
      <c r="H235" s="158">
        <f>IFERROR(VLOOKUP($A235,[2]P.O.!$A:$J,8,),"")</f>
        <v>810.74</v>
      </c>
      <c r="I235" s="158">
        <f>IFERROR(VLOOKUP($A235,[2]P.O.!$A:$J,9,),"")</f>
        <v>7556.1</v>
      </c>
      <c r="J235" s="159">
        <f t="shared" si="31"/>
        <v>3.5555332116851382E-3</v>
      </c>
      <c r="K235" s="145">
        <f>IFERROR(VLOOKUP($A235,[2]P.O.!$A:$J,10,),"")</f>
        <v>0.25</v>
      </c>
      <c r="L235" s="265"/>
    </row>
    <row r="236" spans="1:12" s="235" customFormat="1">
      <c r="A236" s="76"/>
      <c r="B236" s="91"/>
      <c r="C236" s="91"/>
      <c r="D236" s="78"/>
      <c r="E236" s="91"/>
      <c r="F236" s="139"/>
      <c r="G236" s="158"/>
      <c r="H236" s="158"/>
      <c r="I236" s="158"/>
      <c r="J236" s="159"/>
      <c r="K236" s="141"/>
    </row>
    <row r="237" spans="1:12" s="235" customFormat="1">
      <c r="A237" s="101" t="s">
        <v>332</v>
      </c>
      <c r="B237" s="102"/>
      <c r="C237" s="102"/>
      <c r="D237" s="103" t="str">
        <f>IFERROR(VLOOKUP($A237,[2]P.O.!$A:$J,4,),"")</f>
        <v>MARCENARIA</v>
      </c>
      <c r="E237" s="102"/>
      <c r="F237" s="169"/>
      <c r="G237" s="170"/>
      <c r="H237" s="170"/>
      <c r="I237" s="170"/>
      <c r="J237" s="171"/>
      <c r="K237" s="246"/>
    </row>
    <row r="238" spans="1:12" s="232" customFormat="1">
      <c r="A238" s="76"/>
      <c r="B238" s="91"/>
      <c r="C238" s="91"/>
      <c r="D238" s="78"/>
      <c r="E238" s="91"/>
      <c r="F238" s="139"/>
      <c r="G238" s="158"/>
      <c r="H238" s="158"/>
      <c r="I238" s="158"/>
      <c r="J238" s="159"/>
      <c r="K238" s="141"/>
    </row>
    <row r="239" spans="1:12" s="232" customFormat="1" ht="165">
      <c r="A239" s="76" t="s">
        <v>333</v>
      </c>
      <c r="B239" s="91" t="str">
        <f>IFERROR(VLOOKUP($A239,[2]P.O.!$A:$J,2,),"")</f>
        <v>COTSV6006</v>
      </c>
      <c r="C239" s="91" t="str">
        <f>IFERROR(VLOOKUP($A239,[2]P.O.!$A:$J,3,),"")</f>
        <v>COTAÇÃO</v>
      </c>
      <c r="D239" s="78" t="str">
        <f>IFERROR(VLOOKUP($A239,[2]P.O.!$A:$J,4,),"")</f>
        <v>FORNECIMENTO E MONTAGEM DE ARMARIO COM ESTRUTURA EM MDF E=18mm E PORTAS E PRATELEIRAS EM MDF E=15mM, A SEREM REVESTIDOS COM LAMINADO MELAMÍNICO BRANCO, CÓD. L120, ACABAMENTO BRILHANTE, FÓRMICA OU EQUIVALENTE TÉCNICO. COM FECHADURAS EM CILINDROS DE PRESSÃO PARA ARMÁRIOS COM PORTAS DE CORRER, CÓD.: ART 419, PAPAIZ OU EQUIVALENTE TÉCNICO (4UN.). PUXADORES RETANGULARES DE EMBUTIR PARA MÓVEIS, LINHA SATORI 400mm, COMPRIMENTO 160mm, CÓD.:ZP1264, ACABAMENTO CROMADO, ZEN OU EQUIVALENTE TÉCNICO. RODAPÉ EM EM MDF E=18mm, A SER REVESTIDO COM LAMINADO MELAMÍNICO BRANCO, CÓD. L120, ACABAMENTO BRILHANTE, FÓRMICA OU EQUIVALENTE TÉCNICO. COM VIDRO TEMPERADO 6mm, ACABAMENTO TRANSLÚCIDO, A SER FIXADO COM CILINDROS CROMADOS.</v>
      </c>
      <c r="E239" s="91" t="str">
        <f>IFERROR(VLOOKUP($A239,[2]P.O.!$A:$J,5,),"")</f>
        <v>UND</v>
      </c>
      <c r="F239" s="139">
        <f>IFERROR(VLOOKUP($A239,[2]P.O.!$A:$J,6,),"")</f>
        <v>1</v>
      </c>
      <c r="G239" s="158">
        <f>IFERROR(VLOOKUP($A239,[2]P.O.!$A:$J,7,),"")</f>
        <v>27409.752175107013</v>
      </c>
      <c r="H239" s="158">
        <f>IFERROR(VLOOKUP($A239,[2]P.O.!$A:$J,8,),"")</f>
        <v>32014.59</v>
      </c>
      <c r="I239" s="158">
        <f>IFERROR(VLOOKUP($A239,[2]P.O.!$A:$J,9,),"")</f>
        <v>32014.59</v>
      </c>
      <c r="J239" s="159">
        <f t="shared" ref="J239:J243" si="32">IF(I239="","",I239/$E$777)</f>
        <v>1.5064509204944735E-2</v>
      </c>
      <c r="K239" s="145">
        <f>IFERROR(VLOOKUP($A239,[2]P.O.!$A:$J,10,),"")</f>
        <v>0.16800000000000001</v>
      </c>
      <c r="L239" s="265"/>
    </row>
    <row r="240" spans="1:12" s="232" customFormat="1" ht="115.5">
      <c r="A240" s="76" t="s">
        <v>334</v>
      </c>
      <c r="B240" s="91" t="str">
        <f>IFERROR(VLOOKUP($A240,[2]P.O.!$A:$J,2,),"")</f>
        <v>COTSV6002</v>
      </c>
      <c r="C240" s="91" t="str">
        <f>IFERROR(VLOOKUP($A240,[2]P.O.!$A:$J,3,),"")</f>
        <v>COTAÇÃO</v>
      </c>
      <c r="D240" s="78" t="str">
        <f>IFERROR(VLOOKUP($A240,[2]P.O.!$A:$J,4,),"")</f>
        <v>FORNECIMENTO E MONTAGEM DE QUIOSQUE PARA REVISTAS COM ESTRUTURA EM MDF E=18MM, A SER REVESTIDO COM LAMINADO MELAMÍNICO MADEIRADO, CÓD.: M820 ERGONOCE, ACABAMENTO TEXTURIZADO, FÓRMICA OU EQUIVALENTE TÉCNICO. COM FECHADURAS EM CILINDROS DE PRESSÃO PARA ARMÁRIOS COM PORTAS DE CORRER, CÓD.: ART 419, PAPAIZ OU EQUIVALENTE TÉCNICO. COM PUXADORES RETANGULARES DE EMBUTIR PARA MÓVEIS, LINHA SATORI 400MM, COMPRIMENTO 160MM, CÓD.:ZP1264, ACABAMENTO CROMADO, ZEN OU EQUIVALENTE TÉCNICO. CONFORME DETALHE.</v>
      </c>
      <c r="E240" s="91" t="str">
        <f>IFERROR(VLOOKUP($A240,[2]P.O.!$A:$J,5,),"")</f>
        <v>UND</v>
      </c>
      <c r="F240" s="139">
        <f>IFERROR(VLOOKUP($A240,[2]P.O.!$A:$J,6,),"")</f>
        <v>1</v>
      </c>
      <c r="G240" s="158">
        <f>IFERROR(VLOOKUP($A240,[2]P.O.!$A:$J,7,),"")</f>
        <v>3045.5280194563347</v>
      </c>
      <c r="H240" s="158">
        <f>IFERROR(VLOOKUP($A240,[2]P.O.!$A:$J,8,),"")</f>
        <v>3557.18</v>
      </c>
      <c r="I240" s="158">
        <f>IFERROR(VLOOKUP($A240,[2]P.O.!$A:$J,9,),"")</f>
        <v>3557.18</v>
      </c>
      <c r="J240" s="159">
        <f t="shared" si="32"/>
        <v>1.6738359246095391E-3</v>
      </c>
      <c r="K240" s="145">
        <f>IFERROR(VLOOKUP($A240,[2]P.O.!$A:$J,10,),"")</f>
        <v>0.16800000000000001</v>
      </c>
      <c r="L240" s="265"/>
    </row>
    <row r="241" spans="1:12" s="235" customFormat="1" ht="115.5">
      <c r="A241" s="76" t="s">
        <v>335</v>
      </c>
      <c r="B241" s="91" t="str">
        <f>IFERROR(VLOOKUP($A241,[2]P.O.!$A:$J,2,),"")</f>
        <v>COTSV6003</v>
      </c>
      <c r="C241" s="91" t="str">
        <f>IFERROR(VLOOKUP($A241,[2]P.O.!$A:$J,3,),"")</f>
        <v>COTAÇÃO</v>
      </c>
      <c r="D241" s="78" t="str">
        <f>IFERROR(VLOOKUP($A241,[2]P.O.!$A:$J,4,),"")</f>
        <v>FORNECIMENTO E MONTAGEM DE ARMARIOS COM ESTRUTURA EM MDF E=18MM E PORTAS E PRATELEIRAS EM MDF E=15MM, A SEREM REVESTIDOS COM LAMINADO MELAMÍNICO MADEIRADO, CÓD. M 820 ERGONOCE, ACABAMENTO TEXTURIZADO, FÓRMICA OU EQUIVALENTE TÉCNICO. COM FECHADURAS EM CILINDROS DE PRESSÃO PARA ARMÁRIOS COM PORTAS DE CORRER, CÓD.: ART 419, PAPAIZ OU EQUIVALENTE TÉCNICO. COM PUXADORES RETANGULARES DE EMBUTIR PARA MÓVEIS, LINHA SATORI 400MM, COMPRIMENTO 160MM, CÓD.:ZP1264, ACABAMENTO CROMADO, ZEN OU EQUIVALENTE TÉCNICO. CONFORME DETALHE.</v>
      </c>
      <c r="E241" s="91" t="str">
        <f>IFERROR(VLOOKUP($A241,[2]P.O.!$A:$J,5,),"")</f>
        <v>UND</v>
      </c>
      <c r="F241" s="139">
        <f>IFERROR(VLOOKUP($A241,[2]P.O.!$A:$J,6,),"")</f>
        <v>1</v>
      </c>
      <c r="G241" s="158">
        <f>IFERROR(VLOOKUP($A241,[2]P.O.!$A:$J,7,),"")</f>
        <v>8425.9608538291923</v>
      </c>
      <c r="H241" s="158">
        <f>IFERROR(VLOOKUP($A241,[2]P.O.!$A:$J,8,),"")</f>
        <v>9841.52</v>
      </c>
      <c r="I241" s="158">
        <f>IFERROR(VLOOKUP($A241,[2]P.O.!$A:$J,9,),"")</f>
        <v>9841.52</v>
      </c>
      <c r="J241" s="159">
        <f t="shared" si="32"/>
        <v>4.6309407251708583E-3</v>
      </c>
      <c r="K241" s="145">
        <f>IFERROR(VLOOKUP($A241,[2]P.O.!$A:$J,10,),"")</f>
        <v>0.16800000000000001</v>
      </c>
      <c r="L241" s="265"/>
    </row>
    <row r="242" spans="1:12" s="232" customFormat="1" ht="49.5">
      <c r="A242" s="76" t="s">
        <v>336</v>
      </c>
      <c r="B242" s="91" t="str">
        <f>IFERROR(VLOOKUP($A242,[2]P.O.!$A:$J,2,),"")</f>
        <v>COTSV6004</v>
      </c>
      <c r="C242" s="91" t="str">
        <f>IFERROR(VLOOKUP($A242,[2]P.O.!$A:$J,3,),"")</f>
        <v>COTAÇÃO</v>
      </c>
      <c r="D242" s="78" t="str">
        <f>IFERROR(VLOOKUP($A242,[2]P.O.!$A:$J,4,),"")</f>
        <v>FORNECIMENTO E MONTAGEM DE PORTINHOLAS EM MDF E=15MM, A SEREM REVESTIDAS COM LAMINADO MELAMÍNICO MADEIRADO, CÓD. M 820 ERGONOCE, ACABAMENTO TEXTURIZADO, FÓRMICA OU EQUIVALENTE TÉCNICO</v>
      </c>
      <c r="E242" s="91" t="str">
        <f>IFERROR(VLOOKUP($A242,[2]P.O.!$A:$J,5,),"")</f>
        <v>UND</v>
      </c>
      <c r="F242" s="139">
        <f>IFERROR(VLOOKUP($A242,[2]P.O.!$A:$J,6,),"")</f>
        <v>4</v>
      </c>
      <c r="G242" s="158">
        <f>IFERROR(VLOOKUP($A242,[2]P.O.!$A:$J,7,),"")</f>
        <v>1522.7640097281674</v>
      </c>
      <c r="H242" s="158">
        <f>IFERROR(VLOOKUP($A242,[2]P.O.!$A:$J,8,),"")</f>
        <v>1778.59</v>
      </c>
      <c r="I242" s="158">
        <f>IFERROR(VLOOKUP($A242,[2]P.O.!$A:$J,9,),"")</f>
        <v>7114.36</v>
      </c>
      <c r="J242" s="159">
        <f t="shared" si="32"/>
        <v>3.3476718492190783E-3</v>
      </c>
      <c r="K242" s="145">
        <f>IFERROR(VLOOKUP($A242,[2]P.O.!$A:$J,10,),"")</f>
        <v>0.16800000000000001</v>
      </c>
      <c r="L242" s="265"/>
    </row>
    <row r="243" spans="1:12" s="232" customFormat="1" ht="33">
      <c r="A243" s="76" t="s">
        <v>337</v>
      </c>
      <c r="B243" s="91" t="str">
        <f>IFERROR(VLOOKUP($A243,[2]P.O.!$A:$J,2,),"")</f>
        <v>COTSV6005</v>
      </c>
      <c r="C243" s="91" t="str">
        <f>IFERROR(VLOOKUP($A243,[2]P.O.!$A:$J,3,),"")</f>
        <v>COTAÇÃO</v>
      </c>
      <c r="D243" s="78" t="str">
        <f>IFERROR(VLOOKUP($A243,[2]P.O.!$A:$J,4,),"")</f>
        <v>FORNECIMENTO E MONTAGEM DE BATEDOR PARA PORTINHOLAS EM PERFIL DE ALUMÍNIO EM "L", COM ABAS IGUAIS.</v>
      </c>
      <c r="E243" s="91" t="str">
        <f>IFERROR(VLOOKUP($A243,[2]P.O.!$A:$J,5,),"")</f>
        <v>UND</v>
      </c>
      <c r="F243" s="139">
        <f>IFERROR(VLOOKUP($A243,[2]P.O.!$A:$J,6,),"")</f>
        <v>2</v>
      </c>
      <c r="G243" s="158">
        <f>IFERROR(VLOOKUP($A243,[2]P.O.!$A:$J,7,),"")</f>
        <v>761.38200486408368</v>
      </c>
      <c r="H243" s="158">
        <f>IFERROR(VLOOKUP($A243,[2]P.O.!$A:$J,8,),"")</f>
        <v>889.29</v>
      </c>
      <c r="I243" s="158">
        <f>IFERROR(VLOOKUP($A243,[2]P.O.!$A:$J,9,),"")</f>
        <v>1778.58</v>
      </c>
      <c r="J243" s="159">
        <f t="shared" si="32"/>
        <v>8.3691325679106324E-4</v>
      </c>
      <c r="K243" s="145">
        <f>IFERROR(VLOOKUP($A243,[2]P.O.!$A:$J,10,),"")</f>
        <v>0.16800000000000001</v>
      </c>
      <c r="L243" s="265"/>
    </row>
    <row r="244" spans="1:12" s="232" customFormat="1">
      <c r="A244" s="76"/>
      <c r="B244" s="91"/>
      <c r="C244" s="91"/>
      <c r="D244" s="78"/>
      <c r="E244" s="91"/>
      <c r="F244" s="139"/>
      <c r="G244" s="158"/>
      <c r="H244" s="158"/>
      <c r="I244" s="158"/>
      <c r="J244" s="159"/>
      <c r="K244" s="141"/>
    </row>
    <row r="245" spans="1:12" s="235" customFormat="1">
      <c r="A245" s="101" t="s">
        <v>338</v>
      </c>
      <c r="B245" s="102"/>
      <c r="C245" s="102"/>
      <c r="D245" s="103" t="str">
        <f>IFERROR(VLOOKUP($A245,[2]P.O.!$A:$J,4,),"")</f>
        <v>MOBILIÁRIO</v>
      </c>
      <c r="E245" s="102"/>
      <c r="F245" s="169"/>
      <c r="G245" s="170"/>
      <c r="H245" s="170"/>
      <c r="I245" s="170"/>
      <c r="J245" s="171"/>
      <c r="K245" s="246"/>
    </row>
    <row r="246" spans="1:12" s="232" customFormat="1">
      <c r="A246" s="76"/>
      <c r="B246" s="91"/>
      <c r="C246" s="91"/>
      <c r="D246" s="78"/>
      <c r="E246" s="91"/>
      <c r="F246" s="139"/>
      <c r="G246" s="158"/>
      <c r="H246" s="158"/>
      <c r="I246" s="158"/>
      <c r="J246" s="159"/>
      <c r="K246" s="141"/>
    </row>
    <row r="247" spans="1:12" s="232" customFormat="1" ht="82.5">
      <c r="A247" s="76" t="s">
        <v>339</v>
      </c>
      <c r="B247" s="91" t="str">
        <f>IFERROR(VLOOKUP($A247,[2]P.O.!$A:$J,2,),"")</f>
        <v>COTSV6007</v>
      </c>
      <c r="C247" s="91" t="str">
        <f>IFERROR(VLOOKUP($A247,[2]P.O.!$A:$J,3,),"")</f>
        <v>COTAÇÃO</v>
      </c>
      <c r="D247" s="78" t="str">
        <f>IFERROR(VLOOKUP($A247,[2]P.O.!$A:$J,4,),"")</f>
        <v>FORNECIMENTO E MONTAGEM DE MESA RETANGULAR, 1200x700x730mm, CÓD.: PLU7027, LINHA PLURI, BORTOLINI OU EQUIVALENTE TÉCNICO. COM ACABAMENTO EM MDP (LAMINADO MELAMÍNICO) NA COR BRANCO, E ACABAMENTO PRETO PARA METAIS. ACOMPANHA FIXAÇÕES COM BUCHAS METÁLICAS E CALHA PARA PASSAGEM DE CABOS, COM PASSA-CABOS SEGMENTADO.</v>
      </c>
      <c r="E247" s="91" t="str">
        <f>IFERROR(VLOOKUP($A247,[2]P.O.!$A:$J,5,),"")</f>
        <v>UND</v>
      </c>
      <c r="F247" s="139">
        <f>IFERROR(VLOOKUP($A247,[2]P.O.!$A:$J,6,),"")</f>
        <v>12</v>
      </c>
      <c r="G247" s="158">
        <f>IFERROR(VLOOKUP($A247,[2]P.O.!$A:$J,7,),"")</f>
        <v>502.17444371733205</v>
      </c>
      <c r="H247" s="158">
        <f>IFERROR(VLOOKUP($A247,[2]P.O.!$A:$J,8,),"")</f>
        <v>586.54</v>
      </c>
      <c r="I247" s="158">
        <f>IFERROR(VLOOKUP($A247,[2]P.O.!$A:$J,9,),"")</f>
        <v>7038.48</v>
      </c>
      <c r="J247" s="159">
        <f t="shared" ref="J247:J263" si="33">IF(I247="","",I247/$E$777)</f>
        <v>3.311966411214993E-3</v>
      </c>
      <c r="K247" s="145">
        <f>IFERROR(VLOOKUP($A247,[2]P.O.!$A:$J,10,),"")</f>
        <v>0.16800000000000001</v>
      </c>
      <c r="L247" s="265"/>
    </row>
    <row r="248" spans="1:12" s="232" customFormat="1" ht="82.5">
      <c r="A248" s="76" t="s">
        <v>340</v>
      </c>
      <c r="B248" s="91" t="str">
        <f>IFERROR(VLOOKUP($A248,[2]P.O.!$A:$J,2,),"")</f>
        <v>COTSV6008</v>
      </c>
      <c r="C248" s="91" t="str">
        <f>IFERROR(VLOOKUP($A248,[2]P.O.!$A:$J,3,),"")</f>
        <v>COTAÇÃO</v>
      </c>
      <c r="D248" s="78" t="str">
        <f>IFERROR(VLOOKUP($A248,[2]P.O.!$A:$J,4,),"")</f>
        <v>FORNECIMENTO E MONTAGEM DE MESA DE REUNIÃO BOTE, 1600x1170x730mm, CÓD.: AUR3503, LINHA AUGUSTUS, BORTOLINI OU EQUIVALENTE TÉCNICO. COM ACABAMENTO EM MDP (LAMINADO MELAMÍNICO) NA COR BRANCO. ACOMPANHA FIXAÇÕES COM BUCHAS METÁLICAS, BASE EM ALUMÍNIO E AÇO, E CALHA PARA PASSAGEM DE CABOS, COM PASSA-CABOS SEGMENTADO.</v>
      </c>
      <c r="E248" s="91" t="str">
        <f>IFERROR(VLOOKUP($A248,[2]P.O.!$A:$J,5,),"")</f>
        <v>UND</v>
      </c>
      <c r="F248" s="139">
        <f>IFERROR(VLOOKUP($A248,[2]P.O.!$A:$J,6,),"")</f>
        <v>2</v>
      </c>
      <c r="G248" s="158">
        <f>IFERROR(VLOOKUP($A248,[2]P.O.!$A:$J,7,),"")</f>
        <v>1154.4358245538667</v>
      </c>
      <c r="H248" s="158">
        <f>IFERROR(VLOOKUP($A248,[2]P.O.!$A:$J,8,),"")</f>
        <v>1348.38</v>
      </c>
      <c r="I248" s="158">
        <f>IFERROR(VLOOKUP($A248,[2]P.O.!$A:$J,9,),"")</f>
        <v>2696.76</v>
      </c>
      <c r="J248" s="159">
        <f t="shared" si="33"/>
        <v>1.268964114284355E-3</v>
      </c>
      <c r="K248" s="145">
        <f>IFERROR(VLOOKUP($A248,[2]P.O.!$A:$J,10,),"")</f>
        <v>0.16800000000000001</v>
      </c>
      <c r="L248" s="265"/>
    </row>
    <row r="249" spans="1:12" s="235" customFormat="1" ht="66">
      <c r="A249" s="76" t="s">
        <v>341</v>
      </c>
      <c r="B249" s="91" t="str">
        <f>IFERROR(VLOOKUP($A249,[2]P.O.!$A:$J,2,),"")</f>
        <v>COTSV6009</v>
      </c>
      <c r="C249" s="91" t="str">
        <f>IFERROR(VLOOKUP($A249,[2]P.O.!$A:$J,3,),"")</f>
        <v>COTAÇÃO</v>
      </c>
      <c r="D249" s="78" t="str">
        <f>IFERROR(VLOOKUP($A249,[2]P.O.!$A:$J,4,),"")</f>
        <v>FORNECIMENTO E MONTAGEM DE MESA ANGULAR COM GAVETEIRO 1600/600x1400/600x730mm DIR, CÓD.: ERM1027, LINHA ERGON, BORTOLINI OU EQUIVALENTE TÉCNICO. COM ACABAMENTO EM MDP (LAMINADO MELAMÍNICO) NA COR BRANCO. COM CALHA PARA FIAÇÃO, CÓD.: ACC1500 E PASSA-CABOS ACP0070, BORTOLINI OU EQUIVALENTE TÉCNICO.</v>
      </c>
      <c r="E249" s="91" t="str">
        <f>IFERROR(VLOOKUP($A249,[2]P.O.!$A:$J,5,),"")</f>
        <v>UND</v>
      </c>
      <c r="F249" s="139">
        <f>IFERROR(VLOOKUP($A249,[2]P.O.!$A:$J,6,),"")</f>
        <v>2</v>
      </c>
      <c r="G249" s="158">
        <f>IFERROR(VLOOKUP($A249,[2]P.O.!$A:$J,7,),"")</f>
        <v>1317.8866670329983</v>
      </c>
      <c r="H249" s="158">
        <f>IFERROR(VLOOKUP($A249,[2]P.O.!$A:$J,8,),"")</f>
        <v>1539.29</v>
      </c>
      <c r="I249" s="158">
        <f>IFERROR(VLOOKUP($A249,[2]P.O.!$A:$J,9,),"")</f>
        <v>3078.58</v>
      </c>
      <c r="J249" s="159">
        <f t="shared" si="33"/>
        <v>1.4486300386217271E-3</v>
      </c>
      <c r="K249" s="145">
        <f>IFERROR(VLOOKUP($A249,[2]P.O.!$A:$J,10,),"")</f>
        <v>0.16800000000000001</v>
      </c>
      <c r="L249" s="265"/>
    </row>
    <row r="250" spans="1:12" s="232" customFormat="1" ht="66">
      <c r="A250" s="76" t="s">
        <v>342</v>
      </c>
      <c r="B250" s="91" t="str">
        <f>IFERROR(VLOOKUP($A250,[2]P.O.!$A:$J,2,),"")</f>
        <v>COTSV6010</v>
      </c>
      <c r="C250" s="91" t="str">
        <f>IFERROR(VLOOKUP($A250,[2]P.O.!$A:$J,3,),"")</f>
        <v>COTAÇÃO</v>
      </c>
      <c r="D250" s="78" t="str">
        <f>IFERROR(VLOOKUP($A250,[2]P.O.!$A:$J,4,),"")</f>
        <v>FORNECIMENTO E MONTAGEM DE MESA ANGULAR COM GAVETEIRO 1400/600x1600/600x730mm ESQ, CÓD.: ERM1028, LINHA ERGON, BORTOLINI OU EQUIVALENTE TÉCNICO. COM ACABAMENTO EM MDP (LAMINADO MELAMÍNICO) NA COR BRANCO. COM CALHA PARA FIAÇÃO, CÓD.: ACC1500 E PASSA-CABOS ACP0070, BORTOLINI OU EQUIVALENTE TÉCNICO.</v>
      </c>
      <c r="E250" s="91" t="str">
        <f>IFERROR(VLOOKUP($A250,[2]P.O.!$A:$J,5,),"")</f>
        <v>UND</v>
      </c>
      <c r="F250" s="139">
        <f>IFERROR(VLOOKUP($A250,[2]P.O.!$A:$J,6,),"")</f>
        <v>2</v>
      </c>
      <c r="G250" s="158">
        <f>IFERROR(VLOOKUP($A250,[2]P.O.!$A:$J,7,),"")</f>
        <v>1317.8866670329983</v>
      </c>
      <c r="H250" s="158">
        <f>IFERROR(VLOOKUP($A250,[2]P.O.!$A:$J,8,),"")</f>
        <v>1539.29</v>
      </c>
      <c r="I250" s="158">
        <f>IFERROR(VLOOKUP($A250,[2]P.O.!$A:$J,9,),"")</f>
        <v>3078.58</v>
      </c>
      <c r="J250" s="159">
        <f t="shared" si="33"/>
        <v>1.4486300386217271E-3</v>
      </c>
      <c r="K250" s="145">
        <f>IFERROR(VLOOKUP($A250,[2]P.O.!$A:$J,10,),"")</f>
        <v>0.16800000000000001</v>
      </c>
      <c r="L250" s="265"/>
    </row>
    <row r="251" spans="1:12" s="232" customFormat="1" ht="66">
      <c r="A251" s="76" t="s">
        <v>343</v>
      </c>
      <c r="B251" s="91" t="str">
        <f>IFERROR(VLOOKUP($A251,[2]P.O.!$A:$J,2,),"")</f>
        <v>COTSV6011</v>
      </c>
      <c r="C251" s="91" t="str">
        <f>IFERROR(VLOOKUP($A251,[2]P.O.!$A:$J,3,),"")</f>
        <v>COTAÇÃO</v>
      </c>
      <c r="D251" s="78" t="str">
        <f>IFERROR(VLOOKUP($A251,[2]P.O.!$A:$J,4,),"")</f>
        <v>FORNECIMENTO E MONTAGEM DE MESA GERENTE COM GAVETEIRO, 1530/600x1800/800x730 ESQ, CÓD.: BEX1219, LINHA EXPRESS, BORTOLINI OU EQUIVALENTE TÉCNICO, COM ACABENTO EM MDP (LAMINADO MELAMÍNICO) NA COR BRANCO. COM CALHA PARA FIAÇÃO, CÓD.: ACC1700 E PASSA-CABOS ACP0070, BORTOLINI OU EQUIVALENTE TÉCNICO.</v>
      </c>
      <c r="E251" s="91" t="str">
        <f>IFERROR(VLOOKUP($A251,[2]P.O.!$A:$J,5,),"")</f>
        <v>UND</v>
      </c>
      <c r="F251" s="139">
        <f>IFERROR(VLOOKUP($A251,[2]P.O.!$A:$J,6,),"")</f>
        <v>1</v>
      </c>
      <c r="G251" s="158">
        <f>IFERROR(VLOOKUP($A251,[2]P.O.!$A:$J,7,),"")</f>
        <v>1703.3839370309502</v>
      </c>
      <c r="H251" s="158">
        <f>IFERROR(VLOOKUP($A251,[2]P.O.!$A:$J,8,),"")</f>
        <v>1989.55</v>
      </c>
      <c r="I251" s="158">
        <f>IFERROR(VLOOKUP($A251,[2]P.O.!$A:$J,9,),"")</f>
        <v>1989.55</v>
      </c>
      <c r="J251" s="159">
        <f t="shared" si="33"/>
        <v>9.361854794547672E-4</v>
      </c>
      <c r="K251" s="145">
        <f>IFERROR(VLOOKUP($A251,[2]P.O.!$A:$J,10,),"")</f>
        <v>0.16800000000000001</v>
      </c>
      <c r="L251" s="265"/>
    </row>
    <row r="252" spans="1:12" s="232" customFormat="1" ht="49.5">
      <c r="A252" s="76" t="s">
        <v>344</v>
      </c>
      <c r="B252" s="91" t="str">
        <f>IFERROR(VLOOKUP($A252,[2]P.O.!$A:$J,2,),"")</f>
        <v>COTSV6012</v>
      </c>
      <c r="C252" s="91" t="str">
        <f>IFERROR(VLOOKUP($A252,[2]P.O.!$A:$J,3,),"")</f>
        <v>COTAÇÃO</v>
      </c>
      <c r="D252" s="78" t="str">
        <f>IFERROR(VLOOKUP($A252,[2]P.O.!$A:$J,4,),"")</f>
        <v>FORNECIMENTO E MONTAGEM DE CADEIRA PARA ESCRITÓRIO, COM BRAÇO, CÓD.: CCIC.MEGB2, LINHA CICLA, BORTOLINI OU EQUIVALENTE TÉCNICO, COM ACABAMENTO CREPE DE POLIÉSTER T18 E ACABAMENTO PRETO PARA METAL.</v>
      </c>
      <c r="E252" s="91" t="str">
        <f>IFERROR(VLOOKUP($A252,[2]P.O.!$A:$J,5,),"")</f>
        <v>UND</v>
      </c>
      <c r="F252" s="139">
        <f>IFERROR(VLOOKUP($A252,[2]P.O.!$A:$J,6,),"")</f>
        <v>7</v>
      </c>
      <c r="G252" s="158">
        <f>IFERROR(VLOOKUP($A252,[2]P.O.!$A:$J,7,),"")</f>
        <v>718.58747113058223</v>
      </c>
      <c r="H252" s="158">
        <f>IFERROR(VLOOKUP($A252,[2]P.O.!$A:$J,8,),"")</f>
        <v>839.31</v>
      </c>
      <c r="I252" s="158">
        <f>IFERROR(VLOOKUP($A252,[2]P.O.!$A:$J,9,),"")</f>
        <v>5875.17</v>
      </c>
      <c r="J252" s="159">
        <f t="shared" si="33"/>
        <v>2.7645692962369704E-3</v>
      </c>
      <c r="K252" s="145">
        <f>IFERROR(VLOOKUP($A252,[2]P.O.!$A:$J,10,),"")</f>
        <v>0.16800000000000001</v>
      </c>
      <c r="L252" s="265"/>
    </row>
    <row r="253" spans="1:12" s="232" customFormat="1" ht="49.5">
      <c r="A253" s="76" t="s">
        <v>345</v>
      </c>
      <c r="B253" s="91" t="str">
        <f>IFERROR(VLOOKUP($A253,[2]P.O.!$A:$J,2,),"")</f>
        <v>COTSV6013</v>
      </c>
      <c r="C253" s="91" t="str">
        <f>IFERROR(VLOOKUP($A253,[2]P.O.!$A:$J,3,),"")</f>
        <v>COTAÇÃO</v>
      </c>
      <c r="D253" s="78" t="str">
        <f>IFERROR(VLOOKUP($A253,[2]P.O.!$A:$J,4,),"")</f>
        <v>FORNECIMENTO E MONTAGEM DE CADEIRA PARA ESCRITÓRIO, SEM BRAÇO, CÓD.: CCIC.BAGSE, LINHA CICLA, BORTOLINI OU EQUIVALENTE TÉCNICO, COM ACABAMENTO CREPE DE POLIÉSTER T18 E ACABAMENTO PRETO PARA METAL.</v>
      </c>
      <c r="E253" s="91" t="str">
        <f>IFERROR(VLOOKUP($A253,[2]P.O.!$A:$J,5,),"")</f>
        <v>UND</v>
      </c>
      <c r="F253" s="139">
        <f>IFERROR(VLOOKUP($A253,[2]P.O.!$A:$J,6,),"")</f>
        <v>38</v>
      </c>
      <c r="G253" s="158">
        <f>IFERROR(VLOOKUP($A253,[2]P.O.!$A:$J,7,),"")</f>
        <v>410.16909527782082</v>
      </c>
      <c r="H253" s="158">
        <f>IFERROR(VLOOKUP($A253,[2]P.O.!$A:$J,8,),"")</f>
        <v>479.08</v>
      </c>
      <c r="I253" s="158">
        <f>IFERROR(VLOOKUP($A253,[2]P.O.!$A:$J,9,),"")</f>
        <v>18205.04</v>
      </c>
      <c r="J253" s="159">
        <f t="shared" si="33"/>
        <v>8.566406524537315E-3</v>
      </c>
      <c r="K253" s="145">
        <f>IFERROR(VLOOKUP($A253,[2]P.O.!$A:$J,10,),"")</f>
        <v>0.16800000000000001</v>
      </c>
      <c r="L253" s="265"/>
    </row>
    <row r="254" spans="1:12" s="232" customFormat="1" ht="66">
      <c r="A254" s="76" t="s">
        <v>346</v>
      </c>
      <c r="B254" s="91" t="str">
        <f>IFERROR(VLOOKUP($A254,[2]P.O.!$A:$J,2,),"")</f>
        <v>COTSV6014</v>
      </c>
      <c r="C254" s="91" t="str">
        <f>IFERROR(VLOOKUP($A254,[2]P.O.!$A:$J,3,),"")</f>
        <v>COTAÇÃO</v>
      </c>
      <c r="D254" s="78" t="str">
        <f>IFERROR(VLOOKUP($A254,[2]P.O.!$A:$J,4,),"")</f>
        <v>FORNECIMENTO E MONTAGEM DE BANCADA BAIXA, 2000x600x730mm, CÓD.: VBB2060, LINHA VENIRE, BORTOLINI OU EQUIVALENTE TÉCNICO. COM ACABAMENTO EM MDP (LAMINADO MELAMÍNICO) NA COR BRANCO. COM CALHA PARA FIAÇÃO, CÓD.: ACC1700 E PASSA CABOS ACP0070, BORTOLINI OU EQUIVALENTE TÉCNICO.</v>
      </c>
      <c r="E254" s="91" t="str">
        <f>IFERROR(VLOOKUP($A254,[2]P.O.!$A:$J,5,),"")</f>
        <v>UND</v>
      </c>
      <c r="F254" s="139">
        <f>IFERROR(VLOOKUP($A254,[2]P.O.!$A:$J,6,),"")</f>
        <v>3</v>
      </c>
      <c r="G254" s="158">
        <f>IFERROR(VLOOKUP($A254,[2]P.O.!$A:$J,7,),"")</f>
        <v>446.48807807522786</v>
      </c>
      <c r="H254" s="158">
        <f>IFERROR(VLOOKUP($A254,[2]P.O.!$A:$J,8,),"")</f>
        <v>521.5</v>
      </c>
      <c r="I254" s="158">
        <f>IFERROR(VLOOKUP($A254,[2]P.O.!$A:$J,9,),"")</f>
        <v>1564.5</v>
      </c>
      <c r="J254" s="159">
        <f t="shared" si="33"/>
        <v>7.3617761936467204E-4</v>
      </c>
      <c r="K254" s="145">
        <f>IFERROR(VLOOKUP($A254,[2]P.O.!$A:$J,10,),"")</f>
        <v>0.16800000000000001</v>
      </c>
      <c r="L254" s="265"/>
    </row>
    <row r="255" spans="1:12" s="232" customFormat="1" ht="49.5">
      <c r="A255" s="76" t="s">
        <v>347</v>
      </c>
      <c r="B255" s="91" t="str">
        <f>IFERROR(VLOOKUP($A255,[2]P.O.!$A:$J,2,),"")</f>
        <v>COTSV6015</v>
      </c>
      <c r="C255" s="91" t="str">
        <f>IFERROR(VLOOKUP($A255,[2]P.O.!$A:$J,3,),"")</f>
        <v>COTAÇÃO</v>
      </c>
      <c r="D255" s="78" t="str">
        <f>IFERROR(VLOOKUP($A255,[2]P.O.!$A:$J,4,),"")</f>
        <v>FORNECIMENTO E MONTAGEM DE BANCADA ALTA, 1200x600x1100mm, CÓD.: VBA1263, LINHA VENIRE, BORTOLINI OU EQUIVALENTE TÉCNICO. COM ACABAMENTO EM MDP (LAMINADO MELAMÍNICO) NA COR BRANCO.</v>
      </c>
      <c r="E255" s="91" t="str">
        <f>IFERROR(VLOOKUP($A255,[2]P.O.!$A:$J,5,),"")</f>
        <v>UND</v>
      </c>
      <c r="F255" s="139">
        <f>IFERROR(VLOOKUP($A255,[2]P.O.!$A:$J,6,),"")</f>
        <v>1</v>
      </c>
      <c r="G255" s="158">
        <f>IFERROR(VLOOKUP($A255,[2]P.O.!$A:$J,7,),"")</f>
        <v>723.10035917135826</v>
      </c>
      <c r="H255" s="158">
        <f>IFERROR(VLOOKUP($A255,[2]P.O.!$A:$J,8,),"")</f>
        <v>844.58</v>
      </c>
      <c r="I255" s="158">
        <f>IFERROR(VLOOKUP($A255,[2]P.O.!$A:$J,9,),"")</f>
        <v>844.58</v>
      </c>
      <c r="J255" s="159">
        <f t="shared" si="33"/>
        <v>3.974182766142632E-4</v>
      </c>
      <c r="K255" s="145">
        <f>IFERROR(VLOOKUP($A255,[2]P.O.!$A:$J,10,),"")</f>
        <v>0.16800000000000001</v>
      </c>
      <c r="L255" s="265"/>
    </row>
    <row r="256" spans="1:12" s="232" customFormat="1" ht="66">
      <c r="A256" s="76" t="s">
        <v>348</v>
      </c>
      <c r="B256" s="91" t="str">
        <f>IFERROR(VLOOKUP($A256,[2]P.O.!$A:$J,2,),"")</f>
        <v>COTSV6016</v>
      </c>
      <c r="C256" s="91" t="str">
        <f>IFERROR(VLOOKUP($A256,[2]P.O.!$A:$J,3,),"")</f>
        <v>COTAÇÃO</v>
      </c>
      <c r="D256" s="78" t="str">
        <f>IFERROR(VLOOKUP($A256,[2]P.O.!$A:$J,4,),"")</f>
        <v>FORNECIMENTO E MONTAGEM DE GÔNDOLA PARA CENTRO DE LOJA, COM ESTRUTURA METÁLICA MODULAR (0,95x0,30m), COM PINTURA ELETROSTÁTICA NA COR BRANCO, COM PÉ REGULADOR, H=1,50m. COM 4 BANDEJAS METALICAS. LINHA PLUS, METAL DESING OU EQUIVALENTE TÉCNICO.</v>
      </c>
      <c r="E256" s="91" t="str">
        <f>IFERROR(VLOOKUP($A256,[2]P.O.!$A:$J,5,),"")</f>
        <v>UND</v>
      </c>
      <c r="F256" s="139">
        <f>IFERROR(VLOOKUP($A256,[2]P.O.!$A:$J,6,),"")</f>
        <v>12</v>
      </c>
      <c r="G256" s="158">
        <f>IFERROR(VLOOKUP($A256,[2]P.O.!$A:$J,7,),"")</f>
        <v>458.5875523895636</v>
      </c>
      <c r="H256" s="158">
        <f>IFERROR(VLOOKUP($A256,[2]P.O.!$A:$J,8,),"")</f>
        <v>535.63</v>
      </c>
      <c r="I256" s="158">
        <f>IFERROR(VLOOKUP($A256,[2]P.O.!$A:$J,9,),"")</f>
        <v>6427.56</v>
      </c>
      <c r="J256" s="159">
        <f t="shared" si="33"/>
        <v>3.0244971678642326E-3</v>
      </c>
      <c r="K256" s="145">
        <f>IFERROR(VLOOKUP($A256,[2]P.O.!$A:$J,10,),"")</f>
        <v>0.16800000000000001</v>
      </c>
      <c r="L256" s="265"/>
    </row>
    <row r="257" spans="1:12" s="232" customFormat="1" ht="49.5">
      <c r="A257" s="76" t="s">
        <v>349</v>
      </c>
      <c r="B257" s="91" t="str">
        <f>IFERROR(VLOOKUP($A257,[2]P.O.!$A:$J,2,),"")</f>
        <v>COTSV6017</v>
      </c>
      <c r="C257" s="91" t="str">
        <f>IFERROR(VLOOKUP($A257,[2]P.O.!$A:$J,3,),"")</f>
        <v>COTAÇÃO</v>
      </c>
      <c r="D257" s="78" t="str">
        <f>IFERROR(VLOOKUP($A257,[2]P.O.!$A:$J,4,),"")</f>
        <v>FORNECIMENTO E MONTAGEM DE PONTA DE GÔNDOLA, COM ESTRUTURA METÁLICA MODULAR (0,65x0,30m), COM PINTURA ELETROSTÁTICA NA COR BRANCO, COM PÉ REGULADOR, H=1,50m. COM 4 BANDEJAS METALICAS. METAL DESING OU EQUIVALENTE TÉCNICO.</v>
      </c>
      <c r="E257" s="91" t="str">
        <f>IFERROR(VLOOKUP($A257,[2]P.O.!$A:$J,5,),"")</f>
        <v>UND</v>
      </c>
      <c r="F257" s="139">
        <f>IFERROR(VLOOKUP($A257,[2]P.O.!$A:$J,6,),"")</f>
        <v>4</v>
      </c>
      <c r="G257" s="158">
        <f>IFERROR(VLOOKUP($A257,[2]P.O.!$A:$J,7,),"")</f>
        <v>395.61271836269816</v>
      </c>
      <c r="H257" s="158">
        <f>IFERROR(VLOOKUP($A257,[2]P.O.!$A:$J,8,),"")</f>
        <v>462.08</v>
      </c>
      <c r="I257" s="158">
        <f>IFERROR(VLOOKUP($A257,[2]P.O.!$A:$J,9,),"")</f>
        <v>1848.32</v>
      </c>
      <c r="J257" s="159">
        <f t="shared" si="33"/>
        <v>8.6972950937942511E-4</v>
      </c>
      <c r="K257" s="145">
        <f>IFERROR(VLOOKUP($A257,[2]P.O.!$A:$J,10,),"")</f>
        <v>0.16800000000000001</v>
      </c>
      <c r="L257" s="265"/>
    </row>
    <row r="258" spans="1:12" s="232" customFormat="1" ht="49.5">
      <c r="A258" s="76" t="s">
        <v>350</v>
      </c>
      <c r="B258" s="91" t="str">
        <f>IFERROR(VLOOKUP($A258,[2]P.O.!$A:$J,2,),"")</f>
        <v>COTSV6025</v>
      </c>
      <c r="C258" s="91" t="str">
        <f>IFERROR(VLOOKUP($A258,[2]P.O.!$A:$J,3,),"")</f>
        <v>COTAÇÃO</v>
      </c>
      <c r="D258" s="78" t="str">
        <f>IFERROR(VLOOKUP($A258,[2]P.O.!$A:$J,4,),"")</f>
        <v>FORNECIMENTO E MONTAGEM DE ARMÁRIO ALTO 400X472X1607MM, CÓD.: ARA4816 LINHA VENIRE, BORTOLINI OU EQUIVALENTE TÉCNICO. COM ACABAMENTO EM MDP (LAMINADO MELAMÍNICO) NA COR BRANCO.</v>
      </c>
      <c r="E258" s="91" t="str">
        <f>IFERROR(VLOOKUP($A258,[2]P.O.!$A:$J,5,),"")</f>
        <v>UND</v>
      </c>
      <c r="F258" s="139">
        <f>IFERROR(VLOOKUP($A258,[2]P.O.!$A:$J,6,),"")</f>
        <v>11</v>
      </c>
      <c r="G258" s="158">
        <f>IFERROR(VLOOKUP($A258,[2]P.O.!$A:$J,7,),"")</f>
        <v>1065.9348068097172</v>
      </c>
      <c r="H258" s="158">
        <f>IFERROR(VLOOKUP($A258,[2]P.O.!$A:$J,8,),"")</f>
        <v>1245.01</v>
      </c>
      <c r="I258" s="158">
        <f>IFERROR(VLOOKUP($A258,[2]P.O.!$A:$J,9,),"")</f>
        <v>13695.11</v>
      </c>
      <c r="J258" s="159">
        <f t="shared" si="33"/>
        <v>6.4442527815514955E-3</v>
      </c>
      <c r="K258" s="145">
        <f>IFERROR(VLOOKUP($A258,[2]P.O.!$A:$J,10,),"")</f>
        <v>0.16800000000000001</v>
      </c>
      <c r="L258" s="265"/>
    </row>
    <row r="259" spans="1:12" s="232" customFormat="1" ht="49.5">
      <c r="A259" s="76" t="s">
        <v>351</v>
      </c>
      <c r="B259" s="91" t="str">
        <f>IFERROR(VLOOKUP($A259,[2]P.O.!$A:$J,2,),"")</f>
        <v>COTSV6019</v>
      </c>
      <c r="C259" s="91" t="str">
        <f>IFERROR(VLOOKUP($A259,[2]P.O.!$A:$J,3,),"")</f>
        <v>COTAÇÃO</v>
      </c>
      <c r="D259" s="78" t="str">
        <f>IFERROR(VLOOKUP($A259,[2]P.O.!$A:$J,4,),"")</f>
        <v>FORNECIMENTO E MONTAGEM DE PAINEL DIVISÓRIO, COM RODAPÉ, 700x1300mm, CÓD.: DIP5972, BORTOLINI OU EQUIVALENTE TÉCNICO, COM ACABAMENTO EM MDP (LAMINADO MELAMÍNICO) NA COR BRANCO.</v>
      </c>
      <c r="E259" s="91" t="str">
        <f>IFERROR(VLOOKUP($A259,[2]P.O.!$A:$J,5,),"")</f>
        <v>UND</v>
      </c>
      <c r="F259" s="139">
        <f>IFERROR(VLOOKUP($A259,[2]P.O.!$A:$J,6,),"")</f>
        <v>4</v>
      </c>
      <c r="G259" s="158">
        <f>IFERROR(VLOOKUP($A259,[2]P.O.!$A:$J,7,),"")</f>
        <v>277.55803439852536</v>
      </c>
      <c r="H259" s="158">
        <f>IFERROR(VLOOKUP($A259,[2]P.O.!$A:$J,8,),"")</f>
        <v>324.19</v>
      </c>
      <c r="I259" s="158">
        <f>IFERROR(VLOOKUP($A259,[2]P.O.!$A:$J,9,),"")</f>
        <v>1296.76</v>
      </c>
      <c r="J259" s="159">
        <f t="shared" si="33"/>
        <v>6.1019219538979361E-4</v>
      </c>
      <c r="K259" s="145">
        <f>IFERROR(VLOOKUP($A259,[2]P.O.!$A:$J,10,),"")</f>
        <v>0.16800000000000001</v>
      </c>
      <c r="L259" s="265"/>
    </row>
    <row r="260" spans="1:12" s="232" customFormat="1" ht="33">
      <c r="A260" s="76" t="s">
        <v>352</v>
      </c>
      <c r="B260" s="91" t="str">
        <f>IFERROR(VLOOKUP($A260,[2]P.O.!$A:$J,2,),"")</f>
        <v>COTSV6020</v>
      </c>
      <c r="C260" s="91" t="str">
        <f>IFERROR(VLOOKUP($A260,[2]P.O.!$A:$J,3,),"")</f>
        <v>COTAÇÃO</v>
      </c>
      <c r="D260" s="78" t="str">
        <f>IFERROR(VLOOKUP($A260,[2]P.O.!$A:$J,4,),"")</f>
        <v>CONECTOR 90 GRAUS, 2 LADOS, PARA PAINEL DIVISÓRIO, 1300mm CÓD.: DIC5938, BORTOLINI OU EQUIVALENTE TÉCNICO.</v>
      </c>
      <c r="E260" s="91" t="str">
        <f>IFERROR(VLOOKUP($A260,[2]P.O.!$A:$J,5,),"")</f>
        <v>UND</v>
      </c>
      <c r="F260" s="139">
        <f>IFERROR(VLOOKUP($A260,[2]P.O.!$A:$J,6,),"")</f>
        <v>2</v>
      </c>
      <c r="G260" s="158">
        <f>IFERROR(VLOOKUP($A260,[2]P.O.!$A:$J,7,),"")</f>
        <v>101.77127927945931</v>
      </c>
      <c r="H260" s="158">
        <f>IFERROR(VLOOKUP($A260,[2]P.O.!$A:$J,8,),"")</f>
        <v>118.87</v>
      </c>
      <c r="I260" s="158">
        <f>IFERROR(VLOOKUP($A260,[2]P.O.!$A:$J,9,),"")</f>
        <v>237.74</v>
      </c>
      <c r="J260" s="159">
        <f t="shared" si="33"/>
        <v>1.1186888285570927E-4</v>
      </c>
      <c r="K260" s="145">
        <f>IFERROR(VLOOKUP($A260,[2]P.O.!$A:$J,10,),"")</f>
        <v>0.16800000000000001</v>
      </c>
      <c r="L260" s="265"/>
    </row>
    <row r="261" spans="1:12" s="232" customFormat="1" ht="33">
      <c r="A261" s="76" t="s">
        <v>353</v>
      </c>
      <c r="B261" s="91" t="str">
        <f>IFERROR(VLOOKUP($A261,[2]P.O.!$A:$J,2,),"")</f>
        <v>COTSV6021</v>
      </c>
      <c r="C261" s="91" t="str">
        <f>IFERROR(VLOOKUP($A261,[2]P.O.!$A:$J,3,),"")</f>
        <v>COTAÇÃO</v>
      </c>
      <c r="D261" s="78" t="str">
        <f>IFERROR(VLOOKUP($A261,[2]P.O.!$A:$J,4,),"")</f>
        <v>FORNECIMENTO E MONTAGEM DE CONECTOR PARA FIXAÇÃO NO CHÃO, 1300mm CÓD.: DIC5972, BORTOLINI OU EQUIVALENTE TÉCNICO.</v>
      </c>
      <c r="E261" s="91" t="str">
        <f>IFERROR(VLOOKUP($A261,[2]P.O.!$A:$J,5,),"")</f>
        <v>UND</v>
      </c>
      <c r="F261" s="139">
        <f>IFERROR(VLOOKUP($A261,[2]P.O.!$A:$J,6,),"")</f>
        <v>4</v>
      </c>
      <c r="G261" s="158">
        <f>IFERROR(VLOOKUP($A261,[2]P.O.!$A:$J,7,),"")</f>
        <v>122.33113367935007</v>
      </c>
      <c r="H261" s="158">
        <f>IFERROR(VLOOKUP($A261,[2]P.O.!$A:$J,8,),"")</f>
        <v>142.88</v>
      </c>
      <c r="I261" s="158">
        <f>IFERROR(VLOOKUP($A261,[2]P.O.!$A:$J,9,),"")</f>
        <v>571.52</v>
      </c>
      <c r="J261" s="159">
        <f t="shared" si="33"/>
        <v>2.6892951934758539E-4</v>
      </c>
      <c r="K261" s="145">
        <f>IFERROR(VLOOKUP($A261,[2]P.O.!$A:$J,10,),"")</f>
        <v>0.16800000000000001</v>
      </c>
      <c r="L261" s="265"/>
    </row>
    <row r="262" spans="1:12" s="232" customFormat="1" ht="49.5">
      <c r="A262" s="76" t="s">
        <v>354</v>
      </c>
      <c r="B262" s="91" t="str">
        <f>IFERROR(VLOOKUP($A262,[2]P.O.!$A:$J,2,),"")</f>
        <v>COTSV6022</v>
      </c>
      <c r="C262" s="91" t="str">
        <f>IFERROR(VLOOKUP($A262,[2]P.O.!$A:$J,3,),"")</f>
        <v>COTAÇÃO</v>
      </c>
      <c r="D262" s="78" t="str">
        <f>IFERROR(VLOOKUP($A262,[2]P.O.!$A:$J,4,),"")</f>
        <v>FORNECIMENTO E MONTAGEM DE ARREMATE HORIZONTAL PARA PAINEL DIVISÓRIO, 1400x50mm, CÓD.: DIA5987, BORTOLINI OU EQUIVALENTE TÉCNICO, COM ACABAMENTO EM MDP (LAMINADO MELAMÍNICO) NA COR BRANCO.</v>
      </c>
      <c r="E262" s="91" t="str">
        <f>IFERROR(VLOOKUP($A262,[2]P.O.!$A:$J,5,),"")</f>
        <v>UND</v>
      </c>
      <c r="F262" s="139">
        <f>IFERROR(VLOOKUP($A262,[2]P.O.!$A:$J,6,),"")</f>
        <v>2</v>
      </c>
      <c r="G262" s="158">
        <f>IFERROR(VLOOKUP($A262,[2]P.O.!$A:$J,7,),"")</f>
        <v>25.699817999863463</v>
      </c>
      <c r="H262" s="158">
        <f>IFERROR(VLOOKUP($A262,[2]P.O.!$A:$J,8,),"")</f>
        <v>30.02</v>
      </c>
      <c r="I262" s="158">
        <f>IFERROR(VLOOKUP($A262,[2]P.O.!$A:$J,9,),"")</f>
        <v>60.04</v>
      </c>
      <c r="J262" s="159">
        <f t="shared" si="33"/>
        <v>2.8251904293163894E-5</v>
      </c>
      <c r="K262" s="145">
        <f>IFERROR(VLOOKUP($A262,[2]P.O.!$A:$J,10,),"")</f>
        <v>0.16800000000000001</v>
      </c>
      <c r="L262" s="265"/>
    </row>
    <row r="263" spans="1:12" s="232" customFormat="1" ht="49.5">
      <c r="A263" s="76" t="s">
        <v>355</v>
      </c>
      <c r="B263" s="91" t="str">
        <f>IFERROR(VLOOKUP($A263,[2]P.O.!$A:$J,2,),"")</f>
        <v>COTSV6023</v>
      </c>
      <c r="C263" s="91" t="str">
        <f>IFERROR(VLOOKUP($A263,[2]P.O.!$A:$J,3,),"")</f>
        <v>COTAÇÃO</v>
      </c>
      <c r="D263" s="78" t="str">
        <f>IFERROR(VLOOKUP($A263,[2]P.O.!$A:$J,4,),"")</f>
        <v>FORNECIMENTO E MONTAGEM DE ARREMATE VERTICAL PARA PAINEL DIVISÓRIO, 1300mm, CÓD.: DIA5962,BORTOLINI OU EQUIVALENTE TÉCNICO, COM ACABAMENTO EM MDP (LAMINADO MELAMÍNICO) NA COR BRANCO.</v>
      </c>
      <c r="E263" s="91" t="str">
        <f>IFERROR(VLOOKUP($A263,[2]P.O.!$A:$J,5,),"")</f>
        <v>UND</v>
      </c>
      <c r="F263" s="139">
        <f>IFERROR(VLOOKUP($A263,[2]P.O.!$A:$J,6,),"")</f>
        <v>2</v>
      </c>
      <c r="G263" s="158">
        <f>IFERROR(VLOOKUP($A263,[2]P.O.!$A:$J,7,),"")</f>
        <v>66.819526799645004</v>
      </c>
      <c r="H263" s="158">
        <f>IFERROR(VLOOKUP($A263,[2]P.O.!$A:$J,8,),"")</f>
        <v>78.05</v>
      </c>
      <c r="I263" s="158">
        <f>IFERROR(VLOOKUP($A263,[2]P.O.!$A:$J,9,),"")</f>
        <v>156.1</v>
      </c>
      <c r="J263" s="159">
        <f t="shared" si="33"/>
        <v>7.3453068956743571E-5</v>
      </c>
      <c r="K263" s="145">
        <f>IFERROR(VLOOKUP($A263,[2]P.O.!$A:$J,10,),"")</f>
        <v>0.16800000000000001</v>
      </c>
      <c r="L263" s="265"/>
    </row>
    <row r="264" spans="1:12" s="232" customFormat="1">
      <c r="A264" s="76"/>
      <c r="B264" s="91"/>
      <c r="C264" s="91"/>
      <c r="D264" s="78"/>
      <c r="E264" s="91"/>
      <c r="F264" s="139"/>
      <c r="G264" s="158"/>
      <c r="H264" s="158"/>
      <c r="I264" s="158"/>
      <c r="J264" s="159"/>
      <c r="K264" s="141"/>
    </row>
    <row r="265" spans="1:12" s="235" customFormat="1">
      <c r="A265" s="101" t="s">
        <v>356</v>
      </c>
      <c r="B265" s="102"/>
      <c r="C265" s="102"/>
      <c r="D265" s="103" t="str">
        <f>IFERROR(VLOOKUP($A265,[2]P.O.!$A:$J,4,),"")</f>
        <v>ESCADAS</v>
      </c>
      <c r="E265" s="102"/>
      <c r="F265" s="169"/>
      <c r="G265" s="170"/>
      <c r="H265" s="170"/>
      <c r="I265" s="170"/>
      <c r="J265" s="171"/>
      <c r="K265" s="246"/>
    </row>
    <row r="266" spans="1:12" s="232" customFormat="1">
      <c r="A266" s="76"/>
      <c r="B266" s="91"/>
      <c r="C266" s="91"/>
      <c r="D266" s="78"/>
      <c r="E266" s="91"/>
      <c r="F266" s="139"/>
      <c r="G266" s="158"/>
      <c r="H266" s="158"/>
      <c r="I266" s="158"/>
      <c r="J266" s="159"/>
      <c r="K266" s="141"/>
    </row>
    <row r="267" spans="1:12" s="232" customFormat="1" ht="33">
      <c r="A267" s="76" t="s">
        <v>357</v>
      </c>
      <c r="B267" s="91" t="str">
        <f>IFERROR(VLOOKUP($A267,[2]P.O.!$A:$J,2,),"")</f>
        <v>COMPS3079</v>
      </c>
      <c r="C267" s="91" t="str">
        <f>IFERROR(VLOOKUP($A267,[2]P.O.!$A:$J,3,),"")</f>
        <v>COMPOSIÇÃO</v>
      </c>
      <c r="D267" s="78" t="str">
        <f>IFERROR(VLOOKUP($A267,[2]P.O.!$A:$J,4,),"")</f>
        <v>REVISÃO, LIMPEZA E RECOMPOSIÇÃO DE DEGRAUS DE MADEIRA E=3cm, 24 UND. EXISTENTE A SER MANTIDO.</v>
      </c>
      <c r="E267" s="91" t="str">
        <f>IFERROR(VLOOKUP($A267,[2]P.O.!$A:$J,5,),"")</f>
        <v>M2</v>
      </c>
      <c r="F267" s="139">
        <f>IFERROR(VLOOKUP($A267,[2]P.O.!$A:$J,6,),"")</f>
        <v>12.94</v>
      </c>
      <c r="G267" s="158">
        <f>IFERROR(VLOOKUP($A267,[2]P.O.!$A:$J,7,),"")</f>
        <v>138.43</v>
      </c>
      <c r="H267" s="158">
        <f>IFERROR(VLOOKUP($A267,[2]P.O.!$A:$J,8,),"")</f>
        <v>173.04</v>
      </c>
      <c r="I267" s="158">
        <f>IFERROR(VLOOKUP($A267,[2]P.O.!$A:$J,9,),"")</f>
        <v>2239.14</v>
      </c>
      <c r="J267" s="159">
        <f t="shared" ref="J267" si="34">IF(I267="","",I267/$E$777)</f>
        <v>1.0536303960525482E-3</v>
      </c>
      <c r="K267" s="145">
        <f>IFERROR(VLOOKUP($A267,[2]P.O.!$A:$J,10,),"")</f>
        <v>0.25</v>
      </c>
      <c r="L267" s="265"/>
    </row>
    <row r="268" spans="1:12" s="232" customFormat="1">
      <c r="A268" s="76"/>
      <c r="B268" s="91"/>
      <c r="C268" s="91"/>
      <c r="D268" s="78"/>
      <c r="E268" s="91"/>
      <c r="F268" s="139"/>
      <c r="G268" s="158"/>
      <c r="H268" s="158"/>
      <c r="I268" s="158"/>
      <c r="J268" s="159"/>
      <c r="K268" s="141"/>
    </row>
    <row r="269" spans="1:12" s="235" customFormat="1">
      <c r="A269" s="101" t="s">
        <v>358</v>
      </c>
      <c r="B269" s="102"/>
      <c r="C269" s="102"/>
      <c r="D269" s="103" t="str">
        <f>IFERROR(VLOOKUP($A269,[2]P.O.!$A:$J,4,),"")</f>
        <v>ESQUADRIAS/FERRAGENS</v>
      </c>
      <c r="E269" s="102"/>
      <c r="F269" s="169"/>
      <c r="G269" s="170"/>
      <c r="H269" s="170"/>
      <c r="I269" s="170"/>
      <c r="J269" s="171"/>
      <c r="K269" s="246"/>
    </row>
    <row r="270" spans="1:12" s="232" customFormat="1">
      <c r="A270" s="76"/>
      <c r="B270" s="91"/>
      <c r="C270" s="91"/>
      <c r="D270" s="78"/>
      <c r="E270" s="91"/>
      <c r="F270" s="139"/>
      <c r="G270" s="158"/>
      <c r="H270" s="158"/>
      <c r="I270" s="158"/>
      <c r="J270" s="159"/>
      <c r="K270" s="141"/>
    </row>
    <row r="271" spans="1:12" s="235" customFormat="1">
      <c r="A271" s="95" t="s">
        <v>359</v>
      </c>
      <c r="B271" s="96"/>
      <c r="C271" s="96"/>
      <c r="D271" s="97" t="str">
        <f>IFERROR(VLOOKUP($A271,[2]P.O.!$A:$J,4,),"")</f>
        <v>PORTAS</v>
      </c>
      <c r="E271" s="96"/>
      <c r="F271" s="163"/>
      <c r="G271" s="164"/>
      <c r="H271" s="164"/>
      <c r="I271" s="164"/>
      <c r="J271" s="165"/>
      <c r="K271" s="181"/>
    </row>
    <row r="272" spans="1:12" s="232" customFormat="1" ht="132">
      <c r="A272" s="76" t="s">
        <v>360</v>
      </c>
      <c r="B272" s="91" t="str">
        <f>IFERROR(VLOOKUP($A272,[2]P.O.!$A:$J,2,),"")</f>
        <v>COMPS3041</v>
      </c>
      <c r="C272" s="91" t="str">
        <f>IFERROR(VLOOKUP($A272,[2]P.O.!$A:$J,3,),"")</f>
        <v>COMPOSIÇÃO</v>
      </c>
      <c r="D272" s="78" t="str">
        <f>IFERROR(VLOOKUP($A272,[2]P.O.!$A:$J,4,),"")</f>
        <v>P01 - REVISÃO E REPARO, INCLUSIVE RETIRADA DE FECHADURAS DE SOBREPOR E PINTURA, DE PORTA DE MADEIRA EXISTENTE A SER MANTIDA (1,60x3,47m). DUAS FOLHAS DE GIRO, COM ALMOFADA E BANDEIRA FIXA EM ARCO COM VIDRO. PINTURA EM ESMALTE SINTÉTICO PARA SUPERFICIES DE MADEIRA, NA COR VERDE COLONIAL, REF.: 674 CORAL OU EQUIVALENTE TÉCNICO, ACABAMENTO ALTO BRILHO.  RETIRAR FECHADURAS DE SOBREPOR. ACRESCENTAR FERROLHO DE SOBREPOR (2UN.) E FECHADURA TIPO CILINDRO, SEM MAÇANETA, PARA USO EXTERNO REF.: 1501, COM ROSETA EM MODELO COLONIAL (RZL), STAM OU EQUIVALENTE TÉCNICO. (1UN.). COM DOBRADIÇAS TIPO PINO RETO SIMPLES SEM RODÍZIO. (8UN.)</v>
      </c>
      <c r="E272" s="91" t="str">
        <f>IFERROR(VLOOKUP($A272,[2]P.O.!$A:$J,5,),"")</f>
        <v>UND</v>
      </c>
      <c r="F272" s="139">
        <f>IFERROR(VLOOKUP($A272,[2]P.O.!$A:$J,6,),"")</f>
        <v>1</v>
      </c>
      <c r="G272" s="158">
        <f>IFERROR(VLOOKUP($A272,[2]P.O.!$A:$J,7,),"")</f>
        <v>701.85</v>
      </c>
      <c r="H272" s="158">
        <f>IFERROR(VLOOKUP($A272,[2]P.O.!$A:$J,8,),"")</f>
        <v>877.31</v>
      </c>
      <c r="I272" s="158">
        <f>IFERROR(VLOOKUP($A272,[2]P.O.!$A:$J,9,),"")</f>
        <v>877.31</v>
      </c>
      <c r="J272" s="159">
        <f t="shared" ref="J272:J281" si="35">IF(I272="","",I272/$E$777)</f>
        <v>4.1281942297527674E-4</v>
      </c>
      <c r="K272" s="145">
        <f>IFERROR(VLOOKUP($A272,[2]P.O.!$A:$J,10,),"")</f>
        <v>0.25</v>
      </c>
      <c r="L272" s="265"/>
    </row>
    <row r="273" spans="1:12" s="235" customFormat="1" ht="99">
      <c r="A273" s="76" t="s">
        <v>361</v>
      </c>
      <c r="B273" s="91" t="str">
        <f>IFERROR(VLOOKUP($A273,[2]P.O.!$A:$J,2,),"")</f>
        <v>COMPS3042</v>
      </c>
      <c r="C273" s="91" t="str">
        <f>IFERROR(VLOOKUP($A273,[2]P.O.!$A:$J,3,),"")</f>
        <v>COMPOSIÇÃO</v>
      </c>
      <c r="D273" s="78" t="str">
        <f>IFERROR(VLOOKUP($A273,[2]P.O.!$A:$J,4,),"")</f>
        <v>P02 - REVISÃO, REPARO E PINTURA DE PORTA DE MADEIRA EXISTENTE A SER MANTIDA (1,25x2,13m). DUAS FOLHAS DE GIRO, COM ALMOFADA. PINTURA EM ESMALTE SINTÉTICO PARA SUPERFICIES DE MADEIRA, NA COR VERDE COLONIAL, REF.: 674 CORAL OU EQUIVALENTE TÉCNICO, ACABAMENTO ALTO BRILHO. FERROLHO DE SOBREPOR (4UN.) DOBRADIÇAS TIPO PINO RETO SIMPLES SEM RODÍZIO. (4UN.) COM TRAVA HORIZONTAL. INSERIR BACALHAU DE 10cm PARA NIVELAR PORTA COM O PISO, CONFORME DETALHE.</v>
      </c>
      <c r="E273" s="91" t="str">
        <f>IFERROR(VLOOKUP($A273,[2]P.O.!$A:$J,5,),"")</f>
        <v>UND</v>
      </c>
      <c r="F273" s="139">
        <f>IFERROR(VLOOKUP($A273,[2]P.O.!$A:$J,6,),"")</f>
        <v>1</v>
      </c>
      <c r="G273" s="158">
        <f>IFERROR(VLOOKUP($A273,[2]P.O.!$A:$J,7,),"")</f>
        <v>239.79</v>
      </c>
      <c r="H273" s="158">
        <f>IFERROR(VLOOKUP($A273,[2]P.O.!$A:$J,8,),"")</f>
        <v>299.74</v>
      </c>
      <c r="I273" s="158">
        <f>IFERROR(VLOOKUP($A273,[2]P.O.!$A:$J,9,),"")</f>
        <v>299.74</v>
      </c>
      <c r="J273" s="159">
        <f t="shared" si="35"/>
        <v>1.4104306783532556E-4</v>
      </c>
      <c r="K273" s="145">
        <f>IFERROR(VLOOKUP($A273,[2]P.O.!$A:$J,10,),"")</f>
        <v>0.25</v>
      </c>
      <c r="L273" s="265"/>
    </row>
    <row r="274" spans="1:12" s="232" customFormat="1" ht="82.5">
      <c r="A274" s="76" t="s">
        <v>362</v>
      </c>
      <c r="B274" s="91" t="str">
        <f>IFERROR(VLOOKUP($A274,[2]P.O.!$A:$J,2,),"")</f>
        <v>COMPS3043</v>
      </c>
      <c r="C274" s="91" t="str">
        <f>IFERROR(VLOOKUP($A274,[2]P.O.!$A:$J,3,),"")</f>
        <v>COMPOSIÇÃO</v>
      </c>
      <c r="D274" s="78" t="str">
        <f>IFERROR(VLOOKUP($A274,[2]P.O.!$A:$J,4,),"")</f>
        <v>P03 - FORNECIMENTO E INSTALAÇÃO DE PORTA EM MADEIRA IPÊ PINTADA COM STEIN ACETINADO INCOLOR UMA FOLHA DE GIRO (0,80x2,10m). COM FECHADURA TIPO ALAVANCA SEM ESPELHO, PARA BANHEIRO, MODELO INOXVITA MI600 OFFICE, ACABAMENTO CROMADO, PAPAIZ OU EQUIVALENTE TÉCNICO. COM DOBRADIÇA TIPO PINO RETO (3 1/2" X 2 1/2"), ACABAMENTO CROMADO, PAPAIZ OU EQUIVALENTE TÉCNICO. (3UN.)</v>
      </c>
      <c r="E274" s="91" t="str">
        <f>IFERROR(VLOOKUP($A274,[2]P.O.!$A:$J,5,),"")</f>
        <v>UND</v>
      </c>
      <c r="F274" s="139">
        <f>IFERROR(VLOOKUP($A274,[2]P.O.!$A:$J,6,),"")</f>
        <v>5</v>
      </c>
      <c r="G274" s="158">
        <f>IFERROR(VLOOKUP($A274,[2]P.O.!$A:$J,7,),"")</f>
        <v>1153.1500000000001</v>
      </c>
      <c r="H274" s="158">
        <f>IFERROR(VLOOKUP($A274,[2]P.O.!$A:$J,8,),"")</f>
        <v>1441.44</v>
      </c>
      <c r="I274" s="158">
        <f>IFERROR(VLOOKUP($A274,[2]P.O.!$A:$J,9,),"")</f>
        <v>7207.2</v>
      </c>
      <c r="J274" s="159">
        <f t="shared" si="35"/>
        <v>3.3913578384692005E-3</v>
      </c>
      <c r="K274" s="145">
        <f>IFERROR(VLOOKUP($A274,[2]P.O.!$A:$J,10,),"")</f>
        <v>0.25</v>
      </c>
      <c r="L274" s="265"/>
    </row>
    <row r="275" spans="1:12" s="235" customFormat="1" ht="148.5">
      <c r="A275" s="76" t="s">
        <v>363</v>
      </c>
      <c r="B275" s="91" t="str">
        <f>IFERROR(VLOOKUP($A275,[2]P.O.!$A:$J,2,),"")</f>
        <v>COMPS3044</v>
      </c>
      <c r="C275" s="91" t="str">
        <f>IFERROR(VLOOKUP($A275,[2]P.O.!$A:$J,3,),"")</f>
        <v>COMPOSIÇÃO</v>
      </c>
      <c r="D275" s="78" t="str">
        <f>IFERROR(VLOOKUP($A275,[2]P.O.!$A:$J,4,),"")</f>
        <v>P04 - FORNECIMENTO E INSTALAÇÃO DE PORTA EM VIDRO TEMPERADO COM ADESIVO JATEADO 8 mm, UMA FOLHA DE GIRO (0,60x1,65m). FECHADURA UNIVERSAL TIPO TARJETA LIVRE/OCUPADO COM O CORPO EM NYLON REFORÇADO COM FIBRA DE VIDRO NA COR PRETA FOSCA E ESPELHOS DE ACABAMENTO EM POLICARBONATO, NA COR PRATA, NEOCOM SYSTEM OU EQUIVALENTE TÉCNICO. PUXADOR CONVENCIONAL, INCLUSO NO SITEMA. DOBRADIÇAS AUTOMÁTICAS TIPO “SELF-CLOSING” EM LIGA ESPECIAL DE ALUMÍNIO (3UN.), COM DUPLO APOIO PARA O PINO EIXO, ARTICULADO SOBRE BUCHAS DE NYLON, COM CONTROLE DO ÂNGULO DE PERMANÊNCIA DE 30° (ABERTURA PARCIAL), 0° (FECHADA), OU QUALQUER OUTRO ÂNGULO MÚLTIPLO DE 30° COM ACABAMENTO ANODIZADO, NEOCOM SYSTEM OU EQUIVALENTE TÉCNICO.</v>
      </c>
      <c r="E275" s="91" t="str">
        <f>IFERROR(VLOOKUP($A275,[2]P.O.!$A:$J,5,),"")</f>
        <v>UND</v>
      </c>
      <c r="F275" s="139">
        <f>IFERROR(VLOOKUP($A275,[2]P.O.!$A:$J,6,),"")</f>
        <v>8</v>
      </c>
      <c r="G275" s="158">
        <f>IFERROR(VLOOKUP($A275,[2]P.O.!$A:$J,7,),"")</f>
        <v>1004.23</v>
      </c>
      <c r="H275" s="158">
        <f>IFERROR(VLOOKUP($A275,[2]P.O.!$A:$J,8,),"")</f>
        <v>1255.29</v>
      </c>
      <c r="I275" s="158">
        <f>IFERROR(VLOOKUP($A275,[2]P.O.!$A:$J,9,),"")</f>
        <v>10042.32</v>
      </c>
      <c r="J275" s="159">
        <f t="shared" si="35"/>
        <v>4.7254274403951638E-3</v>
      </c>
      <c r="K275" s="145">
        <f>IFERROR(VLOOKUP($A275,[2]P.O.!$A:$J,10,),"")</f>
        <v>0.25</v>
      </c>
      <c r="L275" s="265"/>
    </row>
    <row r="276" spans="1:12" s="232" customFormat="1" ht="49.5">
      <c r="A276" s="76" t="s">
        <v>364</v>
      </c>
      <c r="B276" s="91" t="str">
        <f>IFERROR(VLOOKUP($A276,[2]P.O.!$A:$J,2,),"")</f>
        <v>COMPS3045</v>
      </c>
      <c r="C276" s="91" t="str">
        <f>IFERROR(VLOOKUP($A276,[2]P.O.!$A:$J,3,),"")</f>
        <v>COMPOSIÇÃO</v>
      </c>
      <c r="D276" s="78" t="str">
        <f>IFERROR(VLOOKUP($A276,[2]P.O.!$A:$J,4,),"")</f>
        <v>P05 - FORNECIMENTO E INSTALAÇÃO DE PORTA DE CORRER SANFONADA EM PVC RÍGIDO DE ALTO IMPACTO, COM TRINCO, NÃO PROPAGA FOGO E RESISTENTE A UMIDADE - DIMENSÕES 1,00 X 2,10M COM FECHADURA CONVENCIONAL INCLUSO NO SISTEMA.</v>
      </c>
      <c r="E276" s="91" t="str">
        <f>IFERROR(VLOOKUP($A276,[2]P.O.!$A:$J,5,),"")</f>
        <v>UND</v>
      </c>
      <c r="F276" s="139">
        <f>IFERROR(VLOOKUP($A276,[2]P.O.!$A:$J,6,),"")</f>
        <v>1</v>
      </c>
      <c r="G276" s="158">
        <f>IFERROR(VLOOKUP($A276,[2]P.O.!$A:$J,7,),"")</f>
        <v>159.81</v>
      </c>
      <c r="H276" s="158">
        <f>IFERROR(VLOOKUP($A276,[2]P.O.!$A:$J,8,),"")</f>
        <v>199.76</v>
      </c>
      <c r="I276" s="158">
        <f>IFERROR(VLOOKUP($A276,[2]P.O.!$A:$J,9,),"")</f>
        <v>199.76</v>
      </c>
      <c r="J276" s="159">
        <f t="shared" si="35"/>
        <v>9.399734179884109E-5</v>
      </c>
      <c r="K276" s="145">
        <f>IFERROR(VLOOKUP($A276,[2]P.O.!$A:$J,10,),"")</f>
        <v>0.25</v>
      </c>
      <c r="L276" s="265"/>
    </row>
    <row r="277" spans="1:12" s="232" customFormat="1" ht="82.5">
      <c r="A277" s="76" t="s">
        <v>365</v>
      </c>
      <c r="B277" s="91" t="str">
        <f>IFERROR(VLOOKUP($A277,[2]P.O.!$A:$J,2,),"")</f>
        <v>COMPS3046</v>
      </c>
      <c r="C277" s="91" t="str">
        <f>IFERROR(VLOOKUP($A277,[2]P.O.!$A:$J,3,),"")</f>
        <v>COMPOSIÇÃO</v>
      </c>
      <c r="D277" s="78" t="str">
        <f>IFERROR(VLOOKUP($A277,[2]P.O.!$A:$J,4,),"")</f>
        <v>P06 - FORNECIMENTO E INSTALAÇÃO DE PORTA DE MADEIRA IPÊ PINTADA COM STEIN ACETINADO INCOLOR UMA FILHA DE GIRO (1,00x2,10m). FECHADURA TIPO ALAVANCA SEM ESPELHO, PARA BANHEIRO, MODELO INOXVITA MI600 OFFICE, ACABAMENTO CROMADO, PAPAIZ OU EQUIVALENTE TÉCNICO. DOBRADIÇA TIPO PINO RETO (3 1/2" X 2 1/2"), ACABAMENTO CROMADO, PAPAIZ OU EQUIVALENTE TÉCNICO. (3UN.)</v>
      </c>
      <c r="E277" s="91" t="str">
        <f>IFERROR(VLOOKUP($A277,[2]P.O.!$A:$J,5,),"")</f>
        <v>UND</v>
      </c>
      <c r="F277" s="139">
        <f>IFERROR(VLOOKUP($A277,[2]P.O.!$A:$J,6,),"")</f>
        <v>1</v>
      </c>
      <c r="G277" s="158">
        <f>IFERROR(VLOOKUP($A277,[2]P.O.!$A:$J,7,),"")</f>
        <v>1334.4899999999998</v>
      </c>
      <c r="H277" s="158">
        <f>IFERROR(VLOOKUP($A277,[2]P.O.!$A:$J,8,),"")</f>
        <v>1668.11</v>
      </c>
      <c r="I277" s="158">
        <f>IFERROR(VLOOKUP($A277,[2]P.O.!$A:$J,9,),"")</f>
        <v>1668.11</v>
      </c>
      <c r="J277" s="159">
        <f t="shared" si="35"/>
        <v>7.84931446876576E-4</v>
      </c>
      <c r="K277" s="145">
        <f>IFERROR(VLOOKUP($A277,[2]P.O.!$A:$J,10,),"")</f>
        <v>0.25</v>
      </c>
      <c r="L277" s="265"/>
    </row>
    <row r="278" spans="1:12" s="232" customFormat="1" ht="99">
      <c r="A278" s="76" t="s">
        <v>366</v>
      </c>
      <c r="B278" s="91" t="str">
        <f>IFERROR(VLOOKUP($A278,[2]P.O.!$A:$J,2,),"")</f>
        <v>COMPS3047</v>
      </c>
      <c r="C278" s="91" t="str">
        <f>IFERROR(VLOOKUP($A278,[2]P.O.!$A:$J,3,),"")</f>
        <v>COMPOSIÇÃO</v>
      </c>
      <c r="D278" s="78" t="str">
        <f>IFERROR(VLOOKUP($A278,[2]P.O.!$A:$J,4,),"")</f>
        <v>P07 - REVISÃO, REPARO E PINTURA DE PORTA DE MADEIRA EXISTENTE A SER MANTIDA (1,30x3,03m). DUAS FOLHAS DE GIRO, COM ALMOFADA. COM POSTIGO, VENEZIANA E BANDEIRA FIXA COM VIDRO. PINTURA EM ESMALTE SINTÉTICO PARA SUPERFICIES DE MADEIRA, NA COR VERDE COLONIAL, REF.: 674 CORAL OU EQUIVALENTE TÉCNICO, ACABAMENTO ALTO BRILHO. COM FERROLHO DE SOBREPOR (6UN.) DOBRADIÇAS TIPO PINO RETO SIMPLES SEM RODÍZIO. (6UN.)</v>
      </c>
      <c r="E278" s="91" t="str">
        <f>IFERROR(VLOOKUP($A278,[2]P.O.!$A:$J,5,),"")</f>
        <v>UND</v>
      </c>
      <c r="F278" s="139">
        <f>IFERROR(VLOOKUP($A278,[2]P.O.!$A:$J,6,),"")</f>
        <v>2</v>
      </c>
      <c r="G278" s="158">
        <f>IFERROR(VLOOKUP($A278,[2]P.O.!$A:$J,7,),"")</f>
        <v>310.98</v>
      </c>
      <c r="H278" s="158">
        <f>IFERROR(VLOOKUP($A278,[2]P.O.!$A:$J,8,),"")</f>
        <v>388.73</v>
      </c>
      <c r="I278" s="158">
        <f>IFERROR(VLOOKUP($A278,[2]P.O.!$A:$J,9,),"")</f>
        <v>777.46</v>
      </c>
      <c r="J278" s="159">
        <f t="shared" si="35"/>
        <v>3.6583486861697538E-4</v>
      </c>
      <c r="K278" s="145">
        <f>IFERROR(VLOOKUP($A278,[2]P.O.!$A:$J,10,),"")</f>
        <v>0.25</v>
      </c>
      <c r="L278" s="265"/>
    </row>
    <row r="279" spans="1:12" s="232" customFormat="1" ht="99">
      <c r="A279" s="76" t="s">
        <v>367</v>
      </c>
      <c r="B279" s="91" t="str">
        <f>IFERROR(VLOOKUP($A279,[2]P.O.!$A:$J,2,),"")</f>
        <v>COMPS3048</v>
      </c>
      <c r="C279" s="91" t="str">
        <f>IFERROR(VLOOKUP($A279,[2]P.O.!$A:$J,3,),"")</f>
        <v>COMPOSIÇÃO</v>
      </c>
      <c r="D279" s="78" t="str">
        <f>IFERROR(VLOOKUP($A279,[2]P.O.!$A:$J,4,),"")</f>
        <v>P08 - REVISÃO, REPARO E PINTURA DE PORTA DE MADEIRA EXISTENTE A SER MANTIDA (1,67x3,87m). DUAS FOLHAS DE GIRO, COM ALMOFADA. COM POSTIGO, VENEZIANA E BANDEIRA FIXA COM VIDRO. PINTURA EM ESMALTE SINTÉTICO PARA SUPERFICIES DE MADEIRA, NA COR VERDE COLONIAL, REF.: 674 CORAL OU EQUIVALENTE TÉCNICO, ACABAMENTO ALTO BRILHO. COM FERROLHO DE SOBREPOR (03UN.) E FECHADURA TIPO CREMONA (01UN.). DOBRADIÇAS TIPO PINO RETO SIMPLES SEM RODÍZIO. (6UN.)</v>
      </c>
      <c r="E279" s="91" t="str">
        <f>IFERROR(VLOOKUP($A279,[2]P.O.!$A:$J,5,),"")</f>
        <v>UND</v>
      </c>
      <c r="F279" s="139">
        <f>IFERROR(VLOOKUP($A279,[2]P.O.!$A:$J,6,),"")</f>
        <v>1</v>
      </c>
      <c r="G279" s="158">
        <f>IFERROR(VLOOKUP($A279,[2]P.O.!$A:$J,7,),"")</f>
        <v>821.74000000000012</v>
      </c>
      <c r="H279" s="158">
        <f>IFERROR(VLOOKUP($A279,[2]P.O.!$A:$J,8,),"")</f>
        <v>1027.18</v>
      </c>
      <c r="I279" s="158">
        <f>IFERROR(VLOOKUP($A279,[2]P.O.!$A:$J,9,),"")</f>
        <v>1027.18</v>
      </c>
      <c r="J279" s="159">
        <f t="shared" si="35"/>
        <v>4.8334095689293952E-4</v>
      </c>
      <c r="K279" s="145">
        <f>IFERROR(VLOOKUP($A279,[2]P.O.!$A:$J,10,),"")</f>
        <v>0.25</v>
      </c>
      <c r="L279" s="265"/>
    </row>
    <row r="280" spans="1:12" s="232" customFormat="1" ht="99">
      <c r="A280" s="76" t="s">
        <v>368</v>
      </c>
      <c r="B280" s="91" t="str">
        <f>IFERROR(VLOOKUP($A280,[2]P.O.!$A:$J,2,),"")</f>
        <v>COMPS3049</v>
      </c>
      <c r="C280" s="91" t="str">
        <f>IFERROR(VLOOKUP($A280,[2]P.O.!$A:$J,3,),"")</f>
        <v>COMPOSIÇÃO</v>
      </c>
      <c r="D280" s="78" t="str">
        <f>IFERROR(VLOOKUP($A280,[2]P.O.!$A:$J,4,),"")</f>
        <v>P09 - REVISÃO, REPARO E PINTURA DE PORTA DE MADEIRA EXISTENTE A SER MANTIDA (1,78x2,89m). DUAS FOLHAS DE GIRO, COM ALMOFADA. PINTURA EM ESMALTE SINTÉTICO PARA SUPERFICIES DE MADEIRA, NA COR VERDE COLONIAL, REF.: 674 CORAL OU EQUIVALENTE TÉCNICO, ACABAMENTO ALTO BRILHO. COM FERROLHO DE SOBREPOR (2UN.) E FECHADURA COM ESPELHO E MAÇANETA TIPO BOLA (1UN.) DOBRADIÇAS TIPO PINO RETO SIMPLES SEM RODÍZIO. (8UN.)</v>
      </c>
      <c r="E280" s="91" t="str">
        <f>IFERROR(VLOOKUP($A280,[2]P.O.!$A:$J,5,),"")</f>
        <v>UND</v>
      </c>
      <c r="F280" s="139">
        <f>IFERROR(VLOOKUP($A280,[2]P.O.!$A:$J,6,),"")</f>
        <v>1</v>
      </c>
      <c r="G280" s="158">
        <f>IFERROR(VLOOKUP($A280,[2]P.O.!$A:$J,7,),"")</f>
        <v>654.05999999999995</v>
      </c>
      <c r="H280" s="158">
        <f>IFERROR(VLOOKUP($A280,[2]P.O.!$A:$J,8,),"")</f>
        <v>817.58</v>
      </c>
      <c r="I280" s="158">
        <f>IFERROR(VLOOKUP($A280,[2]P.O.!$A:$J,9,),"")</f>
        <v>817.58</v>
      </c>
      <c r="J280" s="159">
        <f t="shared" si="35"/>
        <v>3.8471338960701095E-4</v>
      </c>
      <c r="K280" s="145">
        <f>IFERROR(VLOOKUP($A280,[2]P.O.!$A:$J,10,),"")</f>
        <v>0.25</v>
      </c>
      <c r="L280" s="265"/>
    </row>
    <row r="281" spans="1:12" s="232" customFormat="1" ht="49.5">
      <c r="A281" s="76" t="s">
        <v>369</v>
      </c>
      <c r="B281" s="91" t="str">
        <f>IFERROR(VLOOKUP($A281,[2]P.O.!$A:$J,2,),"")</f>
        <v>COMPS3050</v>
      </c>
      <c r="C281" s="91" t="str">
        <f>IFERROR(VLOOKUP($A281,[2]P.O.!$A:$J,3,),"")</f>
        <v>COMPOSIÇÃO</v>
      </c>
      <c r="D281" s="78" t="str">
        <f>IFERROR(VLOOKUP($A281,[2]P.O.!$A:$J,4,),"")</f>
        <v>P10 - FORNECIMENTO E INSTALAÇÃO DE PORTA TIPO ESTEIRA EM AÇO GALVANIZADO, COM PINTURA ELETROSTÁTICA NA COR CINZA, PERFIL TIPO MEIA CANA PERFURADO H=APROX.80MM, ABERTURA MANUAL - DIMENSÕES 2,40X2,20M</v>
      </c>
      <c r="E281" s="91" t="str">
        <f>IFERROR(VLOOKUP($A281,[2]P.O.!$A:$J,5,),"")</f>
        <v>UND</v>
      </c>
      <c r="F281" s="139">
        <f>IFERROR(VLOOKUP($A281,[2]P.O.!$A:$J,6,),"")</f>
        <v>8</v>
      </c>
      <c r="G281" s="158">
        <f>IFERROR(VLOOKUP($A281,[2]P.O.!$A:$J,7,),"")</f>
        <v>1434.1</v>
      </c>
      <c r="H281" s="158">
        <f>IFERROR(VLOOKUP($A281,[2]P.O.!$A:$J,8,),"")</f>
        <v>1792.63</v>
      </c>
      <c r="I281" s="158">
        <f>IFERROR(VLOOKUP($A281,[2]P.O.!$A:$J,9,),"")</f>
        <v>14341.04</v>
      </c>
      <c r="J281" s="159">
        <f t="shared" si="35"/>
        <v>6.748196028388327E-3</v>
      </c>
      <c r="K281" s="145">
        <f>IFERROR(VLOOKUP($A281,[2]P.O.!$A:$J,10,),"")</f>
        <v>0.25</v>
      </c>
      <c r="L281" s="265"/>
    </row>
    <row r="282" spans="1:12" s="232" customFormat="1">
      <c r="A282" s="76"/>
      <c r="B282" s="91"/>
      <c r="C282" s="91"/>
      <c r="D282" s="78"/>
      <c r="E282" s="91"/>
      <c r="F282" s="139"/>
      <c r="G282" s="158"/>
      <c r="H282" s="158"/>
      <c r="I282" s="158"/>
      <c r="J282" s="159"/>
      <c r="K282" s="141"/>
    </row>
    <row r="283" spans="1:12" s="235" customFormat="1">
      <c r="A283" s="95" t="s">
        <v>370</v>
      </c>
      <c r="B283" s="96"/>
      <c r="C283" s="96"/>
      <c r="D283" s="97" t="str">
        <f>IFERROR(VLOOKUP($A283,[2]P.O.!$A:$J,4,),"")</f>
        <v>JANELAS</v>
      </c>
      <c r="E283" s="96"/>
      <c r="F283" s="163"/>
      <c r="G283" s="164"/>
      <c r="H283" s="164"/>
      <c r="I283" s="164"/>
      <c r="J283" s="165"/>
      <c r="K283" s="181"/>
    </row>
    <row r="284" spans="1:12" s="232" customFormat="1" ht="99">
      <c r="A284" s="76" t="s">
        <v>371</v>
      </c>
      <c r="B284" s="91" t="str">
        <f>IFERROR(VLOOKUP($A284,[2]P.O.!$A:$J,2,),"")</f>
        <v>COMPS3051</v>
      </c>
      <c r="C284" s="91" t="str">
        <f>IFERROR(VLOOKUP($A284,[2]P.O.!$A:$J,3,),"")</f>
        <v>COMPOSIÇÃO</v>
      </c>
      <c r="D284" s="78" t="str">
        <f>IFERROR(VLOOKUP($A284,[2]P.O.!$A:$J,4,),"")</f>
        <v>J01 - REVISÃO, REPARO E PINTURA DE JANELA DE MADEIRA EXISTENTE A SER MANTIDA (1,28x2,92/0,62m).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(12UN.).</v>
      </c>
      <c r="E284" s="91" t="str">
        <f>IFERROR(VLOOKUP($A284,[2]P.O.!$A:$J,5,),"")</f>
        <v>UND</v>
      </c>
      <c r="F284" s="139">
        <f>IFERROR(VLOOKUP($A284,[2]P.O.!$A:$J,6,),"")</f>
        <v>2</v>
      </c>
      <c r="G284" s="158">
        <f>IFERROR(VLOOKUP($A284,[2]P.O.!$A:$J,7,),"")</f>
        <v>295.09000000000003</v>
      </c>
      <c r="H284" s="158">
        <f>IFERROR(VLOOKUP($A284,[2]P.O.!$A:$J,8,),"")</f>
        <v>368.86</v>
      </c>
      <c r="I284" s="158">
        <f>IFERROR(VLOOKUP($A284,[2]P.O.!$A:$J,9,),"")</f>
        <v>737.72</v>
      </c>
      <c r="J284" s="159">
        <f t="shared" ref="J284:J298" si="36">IF(I284="","",I284/$E$777)</f>
        <v>3.4713515714778262E-4</v>
      </c>
      <c r="K284" s="145">
        <f>IFERROR(VLOOKUP($A284,[2]P.O.!$A:$J,10,),"")</f>
        <v>0.25</v>
      </c>
      <c r="L284" s="265"/>
    </row>
    <row r="285" spans="1:12" s="232" customFormat="1" ht="99">
      <c r="A285" s="76" t="s">
        <v>372</v>
      </c>
      <c r="B285" s="91" t="str">
        <f>IFERROR(VLOOKUP($A285,[2]P.O.!$A:$J,2,),"")</f>
        <v>COMPS3052</v>
      </c>
      <c r="C285" s="91" t="str">
        <f>IFERROR(VLOOKUP($A285,[2]P.O.!$A:$J,3,),"")</f>
        <v>COMPOSIÇÃO</v>
      </c>
      <c r="D285" s="78" t="str">
        <f>IFERROR(VLOOKUP($A285,[2]P.O.!$A:$J,4,),"")</f>
        <v>J02 - REVISÃO, REPARO E PINTURA DE JANELA DE MADEIRA EXISTENTE A SER MANTIDA (1,20x2,14/0,90m).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v>
      </c>
      <c r="E285" s="91" t="str">
        <f>IFERROR(VLOOKUP($A285,[2]P.O.!$A:$J,5,),"")</f>
        <v>UND</v>
      </c>
      <c r="F285" s="139">
        <f>IFERROR(VLOOKUP($A285,[2]P.O.!$A:$J,6,),"")</f>
        <v>3</v>
      </c>
      <c r="G285" s="158">
        <f>IFERROR(VLOOKUP($A285,[2]P.O.!$A:$J,7,),"")</f>
        <v>202.73999999999998</v>
      </c>
      <c r="H285" s="158">
        <f>IFERROR(VLOOKUP($A285,[2]P.O.!$A:$J,8,),"")</f>
        <v>253.43</v>
      </c>
      <c r="I285" s="158">
        <f>IFERROR(VLOOKUP($A285,[2]P.O.!$A:$J,9,),"")</f>
        <v>760.29</v>
      </c>
      <c r="J285" s="159">
        <f t="shared" si="36"/>
        <v>3.5775550158310417E-4</v>
      </c>
      <c r="K285" s="145">
        <f>IFERROR(VLOOKUP($A285,[2]P.O.!$A:$J,10,),"")</f>
        <v>0.25</v>
      </c>
      <c r="L285" s="265"/>
    </row>
    <row r="286" spans="1:12" s="232" customFormat="1" ht="115.5">
      <c r="A286" s="76" t="s">
        <v>373</v>
      </c>
      <c r="B286" s="91" t="str">
        <f>IFERROR(VLOOKUP($A286,[2]P.O.!$A:$J,2,),"")</f>
        <v>COMPS3053</v>
      </c>
      <c r="C286" s="91" t="str">
        <f>IFERROR(VLOOKUP($A286,[2]P.O.!$A:$J,3,),"")</f>
        <v>COMPOSIÇÃO</v>
      </c>
      <c r="D286" s="78" t="str">
        <f>IFERROR(VLOOKUP($A286,[2]P.O.!$A:$J,4,),"")</f>
        <v xml:space="preserve">J03 - REVISÃO, REPARO, INCLUSIVE RETIRADA DE DOBRADIÇAS, E PINTURA DE JANELA DE MADEIRA EXISTENTE A SER MANTIDA (1,28x2,14/0,90m). DUAS FOLHAS DE GIRO, COM ALMOFADA. COM POSTIGO, VENEZIANA E BANDEIRA COM VIDRO (RETIRAR DOBRADIÇAS DA BANDEIRA, TORNANDO-A FIXA). PINTURA EM ESMALTE SINTÉTICO PARA SUPERFICIES DE MADEIRA, NA COR VERDE COLONIAL, REF.: 674 CORAL OU EQUIVALENTE TÉCNICO, ACABAMENTO ALTO BRILHO. COM FERROLHO DE SOBREPOR (2UN.) E TRANCA DE SOBREPOR (2UN.), DOBRADIÇAS TIPO PINO RETO SIMPLES SEM RODÍZIO. (8UN.). </v>
      </c>
      <c r="E286" s="91" t="str">
        <f>IFERROR(VLOOKUP($A286,[2]P.O.!$A:$J,5,),"")</f>
        <v>UND</v>
      </c>
      <c r="F286" s="139">
        <f>IFERROR(VLOOKUP($A286,[2]P.O.!$A:$J,6,),"")</f>
        <v>2</v>
      </c>
      <c r="G286" s="158">
        <f>IFERROR(VLOOKUP($A286,[2]P.O.!$A:$J,7,),"")</f>
        <v>245.94</v>
      </c>
      <c r="H286" s="158">
        <f>IFERROR(VLOOKUP($A286,[2]P.O.!$A:$J,8,),"")</f>
        <v>307.43</v>
      </c>
      <c r="I286" s="158">
        <f>IFERROR(VLOOKUP($A286,[2]P.O.!$A:$J,9,),"")</f>
        <v>614.86</v>
      </c>
      <c r="J286" s="159">
        <f t="shared" si="36"/>
        <v>2.8932321575107848E-4</v>
      </c>
      <c r="K286" s="145">
        <f>IFERROR(VLOOKUP($A286,[2]P.O.!$A:$J,10,),"")</f>
        <v>0.25</v>
      </c>
      <c r="L286" s="265"/>
    </row>
    <row r="287" spans="1:12" s="235" customFormat="1" ht="115.5">
      <c r="A287" s="76" t="s">
        <v>374</v>
      </c>
      <c r="B287" s="91" t="str">
        <f>IFERROR(VLOOKUP($A287,[2]P.O.!$A:$J,2,),"")</f>
        <v>COMPS3054</v>
      </c>
      <c r="C287" s="91" t="str">
        <f>IFERROR(VLOOKUP($A287,[2]P.O.!$A:$J,3,),"")</f>
        <v>COMPOSIÇÃO</v>
      </c>
      <c r="D287" s="78" t="str">
        <f>IFERROR(VLOOKUP($A287,[2]P.O.!$A:$J,4,),"")</f>
        <v xml:space="preserve">J04 - REVISÃO, REPARO, INCLUSIVE RETIRADA DE DOBRADIÇAS, E PINTURA DE JANELA DE MADEIRA EXISTENTE A SER MANTIDA (1,22x2,14/0,90m). DUAS FOLHAS DE GIRO, COM ALMOFADA. COM POSTIGO, VENEZIANA E BANDEIRA COM VIDRO (RETIRAR DOBRADIÇAS DA BANDEIRA, TORNANDO-A FIXA). PINTURA EM ESMALTE SINTÉTICO PARA SUPERFICIES DE MADEIRA, NA COR VERDE COLONIAL, REF.: 674 CORAL OU EQUIVALENTE TÉCNICO, ACABAMENTO ALTO BRILHO. COM FERROLHO DE SOBREPOR (2UN.) E TRANCA DE SOBREPOR (2UN.), DOBRADIÇAS TIPO PINO RETO SIMPLES SEM RODÍZIO. (8UN.). </v>
      </c>
      <c r="E287" s="91" t="str">
        <f>IFERROR(VLOOKUP($A287,[2]P.O.!$A:$J,5,),"")</f>
        <v>UND</v>
      </c>
      <c r="F287" s="139">
        <f>IFERROR(VLOOKUP($A287,[2]P.O.!$A:$J,6,),"")</f>
        <v>1</v>
      </c>
      <c r="G287" s="158">
        <f>IFERROR(VLOOKUP($A287,[2]P.O.!$A:$J,7,),"")</f>
        <v>235.82</v>
      </c>
      <c r="H287" s="158">
        <f>IFERROR(VLOOKUP($A287,[2]P.O.!$A:$J,8,),"")</f>
        <v>294.77999999999997</v>
      </c>
      <c r="I287" s="158">
        <f>IFERROR(VLOOKUP($A287,[2]P.O.!$A:$J,9,),"")</f>
        <v>294.77999999999997</v>
      </c>
      <c r="J287" s="159">
        <f t="shared" si="36"/>
        <v>1.3870913303695622E-4</v>
      </c>
      <c r="K287" s="145">
        <f>IFERROR(VLOOKUP($A287,[2]P.O.!$A:$J,10,),"")</f>
        <v>0.25</v>
      </c>
      <c r="L287" s="265"/>
    </row>
    <row r="288" spans="1:12" s="232" customFormat="1" ht="99">
      <c r="A288" s="76" t="s">
        <v>375</v>
      </c>
      <c r="B288" s="91" t="str">
        <f>IFERROR(VLOOKUP($A288,[2]P.O.!$A:$J,2,),"")</f>
        <v>COMPS3055</v>
      </c>
      <c r="C288" s="91" t="str">
        <f>IFERROR(VLOOKUP($A288,[2]P.O.!$A:$J,3,),"")</f>
        <v>COMPOSIÇÃO</v>
      </c>
      <c r="D288" s="78" t="str">
        <f>IFERROR(VLOOKUP($A288,[2]P.O.!$A:$J,4,),"")</f>
        <v xml:space="preserve">J05 - REVISÃO, REPARO E PINTURA DE JANELA DE MADEIRA EXISTENTE A SER MANTIDA (1,28x2,14/0,93m).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
      <c r="E288" s="91" t="str">
        <f>IFERROR(VLOOKUP($A288,[2]P.O.!$A:$J,5,),"")</f>
        <v>UND</v>
      </c>
      <c r="F288" s="139">
        <f>IFERROR(VLOOKUP($A288,[2]P.O.!$A:$J,6,),"")</f>
        <v>1</v>
      </c>
      <c r="G288" s="158">
        <f>IFERROR(VLOOKUP($A288,[2]P.O.!$A:$J,7,),"")</f>
        <v>216.26</v>
      </c>
      <c r="H288" s="158">
        <f>IFERROR(VLOOKUP($A288,[2]P.O.!$A:$J,8,),"")</f>
        <v>270.33</v>
      </c>
      <c r="I288" s="158">
        <f>IFERROR(VLOOKUP($A288,[2]P.O.!$A:$J,9,),"")</f>
        <v>270.33</v>
      </c>
      <c r="J288" s="159">
        <f t="shared" si="36"/>
        <v>1.2720415202483335E-4</v>
      </c>
      <c r="K288" s="145">
        <f>IFERROR(VLOOKUP($A288,[2]P.O.!$A:$J,10,),"")</f>
        <v>0.25</v>
      </c>
      <c r="L288" s="265"/>
    </row>
    <row r="289" spans="1:12" s="232" customFormat="1" ht="99">
      <c r="A289" s="76" t="s">
        <v>376</v>
      </c>
      <c r="B289" s="91" t="str">
        <f>IFERROR(VLOOKUP($A289,[2]P.O.!$A:$J,2,),"")</f>
        <v>COMPS3056</v>
      </c>
      <c r="C289" s="91" t="str">
        <f>IFERROR(VLOOKUP($A289,[2]P.O.!$A:$J,3,),"")</f>
        <v>COMPOSIÇÃO</v>
      </c>
      <c r="D289" s="78" t="str">
        <f>IFERROR(VLOOKUP($A289,[2]P.O.!$A:$J,4,),"")</f>
        <v xml:space="preserve">J06 - REVISÃO, REPARO E PINTURA DE  JANELA DE MADEIRA EXISTENTE A SER MANTIDA (1,34x2,14/0,93m).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
      <c r="E289" s="91" t="str">
        <f>IFERROR(VLOOKUP($A289,[2]P.O.!$A:$J,5,),"")</f>
        <v>UND</v>
      </c>
      <c r="F289" s="139">
        <f>IFERROR(VLOOKUP($A289,[2]P.O.!$A:$J,6,),"")</f>
        <v>1</v>
      </c>
      <c r="G289" s="158">
        <f>IFERROR(VLOOKUP($A289,[2]P.O.!$A:$J,7,),"")</f>
        <v>226.40999999999997</v>
      </c>
      <c r="H289" s="158">
        <f>IFERROR(VLOOKUP($A289,[2]P.O.!$A:$J,8,),"")</f>
        <v>283.01</v>
      </c>
      <c r="I289" s="158">
        <f>IFERROR(VLOOKUP($A289,[2]P.O.!$A:$J,9,),"")</f>
        <v>283.01</v>
      </c>
      <c r="J289" s="159">
        <f t="shared" si="36"/>
        <v>1.3317074340453552E-4</v>
      </c>
      <c r="K289" s="145">
        <f>IFERROR(VLOOKUP($A289,[2]P.O.!$A:$J,10,),"")</f>
        <v>0.25</v>
      </c>
      <c r="L289" s="265"/>
    </row>
    <row r="290" spans="1:12" s="232" customFormat="1" ht="99">
      <c r="A290" s="76" t="s">
        <v>377</v>
      </c>
      <c r="B290" s="91" t="str">
        <f>IFERROR(VLOOKUP($A290,[2]P.O.!$A:$J,2,),"")</f>
        <v>COMPS3057</v>
      </c>
      <c r="C290" s="91" t="str">
        <f>IFERROR(VLOOKUP($A290,[2]P.O.!$A:$J,3,),"")</f>
        <v>COMPOSIÇÃO</v>
      </c>
      <c r="D290" s="78" t="str">
        <f>IFERROR(VLOOKUP($A290,[2]P.O.!$A:$J,4,),"")</f>
        <v xml:space="preserve">J07 - REVISÃO, REPARO E PINTURA DE JANELA DE MADEIRA EXISTENTE A SER MANTIDA (1,38x2,14/0,93m).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
      <c r="E290" s="91" t="str">
        <f>IFERROR(VLOOKUP($A290,[2]P.O.!$A:$J,5,),"")</f>
        <v>UND</v>
      </c>
      <c r="F290" s="139">
        <f>IFERROR(VLOOKUP($A290,[2]P.O.!$A:$J,6,),"")</f>
        <v>1</v>
      </c>
      <c r="G290" s="158">
        <f>IFERROR(VLOOKUP($A290,[2]P.O.!$A:$J,7,),"")</f>
        <v>233.16999999999996</v>
      </c>
      <c r="H290" s="158">
        <f>IFERROR(VLOOKUP($A290,[2]P.O.!$A:$J,8,),"")</f>
        <v>291.45999999999998</v>
      </c>
      <c r="I290" s="158">
        <f>IFERROR(VLOOKUP($A290,[2]P.O.!$A:$J,9,),"")</f>
        <v>291.45999999999998</v>
      </c>
      <c r="J290" s="159">
        <f t="shared" si="36"/>
        <v>1.3714690248643483E-4</v>
      </c>
      <c r="K290" s="145">
        <f>IFERROR(VLOOKUP($A290,[2]P.O.!$A:$J,10,),"")</f>
        <v>0.25</v>
      </c>
      <c r="L290" s="265"/>
    </row>
    <row r="291" spans="1:12" s="232" customFormat="1" ht="99">
      <c r="A291" s="76" t="s">
        <v>378</v>
      </c>
      <c r="B291" s="91" t="str">
        <f>IFERROR(VLOOKUP($A291,[2]P.O.!$A:$J,2,),"")</f>
        <v>COMPS3058</v>
      </c>
      <c r="C291" s="91" t="str">
        <f>IFERROR(VLOOKUP($A291,[2]P.O.!$A:$J,3,),"")</f>
        <v>COMPOSIÇÃO</v>
      </c>
      <c r="D291" s="78" t="str">
        <f>IFERROR(VLOOKUP($A291,[2]P.O.!$A:$J,4,),"")</f>
        <v xml:space="preserve">J08 - REVISÃO, REPARO E PINTURA DE JANELA DE MADEIRA EXISTENTE A SER MANTIDA (1,32x2,14/0,93m).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
      <c r="E291" s="91" t="str">
        <f>IFERROR(VLOOKUP($A291,[2]P.O.!$A:$J,5,),"")</f>
        <v>UND</v>
      </c>
      <c r="F291" s="139">
        <f>IFERROR(VLOOKUP($A291,[2]P.O.!$A:$J,6,),"")</f>
        <v>1</v>
      </c>
      <c r="G291" s="158">
        <f>IFERROR(VLOOKUP($A291,[2]P.O.!$A:$J,7,),"")</f>
        <v>223.01999999999998</v>
      </c>
      <c r="H291" s="158">
        <f>IFERROR(VLOOKUP($A291,[2]P.O.!$A:$J,8,),"")</f>
        <v>278.77999999999997</v>
      </c>
      <c r="I291" s="158">
        <f>IFERROR(VLOOKUP($A291,[2]P.O.!$A:$J,9,),"")</f>
        <v>278.77999999999997</v>
      </c>
      <c r="J291" s="159">
        <f t="shared" si="36"/>
        <v>1.3118031110673266E-4</v>
      </c>
      <c r="K291" s="145">
        <f>IFERROR(VLOOKUP($A291,[2]P.O.!$A:$J,10,),"")</f>
        <v>0.25</v>
      </c>
      <c r="L291" s="265"/>
    </row>
    <row r="292" spans="1:12" s="232" customFormat="1" ht="99">
      <c r="A292" s="76" t="s">
        <v>379</v>
      </c>
      <c r="B292" s="91" t="str">
        <f>IFERROR(VLOOKUP($A292,[2]P.O.!$A:$J,2,),"")</f>
        <v>COMPS3059</v>
      </c>
      <c r="C292" s="91" t="str">
        <f>IFERROR(VLOOKUP($A292,[2]P.O.!$A:$J,3,),"")</f>
        <v>COMPOSIÇÃO</v>
      </c>
      <c r="D292" s="78" t="str">
        <f>IFERROR(VLOOKUP($A292,[2]P.O.!$A:$J,4,),"")</f>
        <v xml:space="preserve">J09 - REVISÃO, REPARO E PINTURA DE JANELA DE MADEIRA EXISTENTE A SER MANTIDA (1,29x2,14/0,93m). DUAS FOLHAS DE GIRO, COM ALMOFADA. COM POSTIGO, VENEZIANA E BANDEIRA FIXA COM VIDRO. PINTURA EM ESMALTE SINTÉTICO PARA SUPERFICIES DE MADEIRA, NA COR VERDE COLONIAL, REF.: 674 CORAL OU EQUIVALENTE TÉCNICO, ACABAMENTO ALTO BRILHO. COM FERROLHO DE SOBREPOR (2UN.) E TRANCA DE SOBREPOR (2UN.), DOBRADIÇAS TIPO PINO RETO SIMPLES SEM RODÍZIO. (8UN.). </v>
      </c>
      <c r="E292" s="91" t="str">
        <f>IFERROR(VLOOKUP($A292,[2]P.O.!$A:$J,5,),"")</f>
        <v>UND</v>
      </c>
      <c r="F292" s="139">
        <f>IFERROR(VLOOKUP($A292,[2]P.O.!$A:$J,6,),"")</f>
        <v>2</v>
      </c>
      <c r="G292" s="158">
        <f>IFERROR(VLOOKUP($A292,[2]P.O.!$A:$J,7,),"")</f>
        <v>217.95</v>
      </c>
      <c r="H292" s="158">
        <f>IFERROR(VLOOKUP($A292,[2]P.O.!$A:$J,8,),"")</f>
        <v>272.44</v>
      </c>
      <c r="I292" s="158">
        <f>IFERROR(VLOOKUP($A292,[2]P.O.!$A:$J,9,),"")</f>
        <v>544.88</v>
      </c>
      <c r="J292" s="159">
        <f t="shared" si="36"/>
        <v>2.5639403083376318E-4</v>
      </c>
      <c r="K292" s="145">
        <f>IFERROR(VLOOKUP($A292,[2]P.O.!$A:$J,10,),"")</f>
        <v>0.25</v>
      </c>
      <c r="L292" s="265"/>
    </row>
    <row r="293" spans="1:12" s="232" customFormat="1" ht="115.5">
      <c r="A293" s="76" t="s">
        <v>380</v>
      </c>
      <c r="B293" s="91" t="str">
        <f>IFERROR(VLOOKUP($A293,[2]P.O.!$A:$J,2,),"")</f>
        <v>COMPS3060</v>
      </c>
      <c r="C293" s="91" t="str">
        <f>IFERROR(VLOOKUP($A293,[2]P.O.!$A:$J,3,),"")</f>
        <v>COMPOSIÇÃO</v>
      </c>
      <c r="D293" s="78" t="str">
        <f>IFERROR(VLOOKUP($A293,[2]P.O.!$A:$J,4,),"")</f>
        <v xml:space="preserve">J10 - REVISÃO, REPARO, INCLUSIVE RETIRADA DE DOBRADIÇAS, E PINTURA DE JANELA DE MADEIRA EXISTENTE A SER MANTIDA (1,31x2,14/0,93m). DUAS FOLHAS DE GIRO, COM ALMOFADA. COM POSTIGO, VENEZIANA E BANDEIRA COM VIDRO (RETIRAR DOBRADIÇAS DA BANDEIRA, TORNANDO-A FIXA). PINTURA EM ESMALTE SINTÉTICO PARA SUPERFICIES DE MADEIRA, NA COR VERDE COLONIAL, REF.: 674 CORAL OU EQUIVALENTE TÉCNICO, ACABAMENTO ALTO BRILHO. COM FERROLHO DE SOBREPOR (2UN.) E TRANCA DE SOBREPOR (2UN.), DOBRADIÇAS TIPO PINO RETO SIMPLES SEM RODÍZIO. (8UN.). </v>
      </c>
      <c r="E293" s="91" t="str">
        <f>IFERROR(VLOOKUP($A293,[2]P.O.!$A:$J,5,),"")</f>
        <v>UND</v>
      </c>
      <c r="F293" s="139">
        <f>IFERROR(VLOOKUP($A293,[2]P.O.!$A:$J,6,),"")</f>
        <v>4</v>
      </c>
      <c r="G293" s="158">
        <f>IFERROR(VLOOKUP($A293,[2]P.O.!$A:$J,7,),"")</f>
        <v>251.01</v>
      </c>
      <c r="H293" s="158">
        <f>IFERROR(VLOOKUP($A293,[2]P.O.!$A:$J,8,),"")</f>
        <v>313.76</v>
      </c>
      <c r="I293" s="158">
        <f>IFERROR(VLOOKUP($A293,[2]P.O.!$A:$J,9,),"")</f>
        <v>1255.04</v>
      </c>
      <c r="J293" s="159">
        <f t="shared" si="36"/>
        <v>5.9056079220673571E-4</v>
      </c>
      <c r="K293" s="145">
        <f>IFERROR(VLOOKUP($A293,[2]P.O.!$A:$J,10,),"")</f>
        <v>0.25</v>
      </c>
      <c r="L293" s="265"/>
    </row>
    <row r="294" spans="1:12" s="232" customFormat="1" ht="49.5">
      <c r="A294" s="76" t="s">
        <v>381</v>
      </c>
      <c r="B294" s="91" t="str">
        <f>IFERROR(VLOOKUP($A294,[2]P.O.!$A:$J,2,),"")</f>
        <v>COMPS3080</v>
      </c>
      <c r="C294" s="91" t="str">
        <f>IFERROR(VLOOKUP($A294,[2]P.O.!$A:$J,3,),"")</f>
        <v>COMPOSIÇÃO</v>
      </c>
      <c r="D294" s="78" t="str">
        <f>IFERROR(VLOOKUP($A294,[2]P.O.!$A:$J,4,),"")</f>
        <v>FORNECIMENTO E INSTALAÇÃO DE ESQUADRIA EM FOLHA FIXA DE VIDRO TEMPERADO 6mm, (1,00x1,73/0,40m) ACABAMENTO TRANSLÚCIDO, FIXADO EM PERFIS DE ALUMÍNIO COM ACABAMENTO EM PINTURA ELETROSTÁTICA BRANCO.</v>
      </c>
      <c r="E294" s="91" t="str">
        <f>IFERROR(VLOOKUP($A294,[2]P.O.!$A:$J,5,),"")</f>
        <v>UND</v>
      </c>
      <c r="F294" s="139">
        <f>IFERROR(VLOOKUP($A294,[2]P.O.!$A:$J,6,),"")</f>
        <v>2</v>
      </c>
      <c r="G294" s="158">
        <f>IFERROR(VLOOKUP($A294,[2]P.O.!$A:$J,7,),"")</f>
        <v>1718.79</v>
      </c>
      <c r="H294" s="158">
        <f>IFERROR(VLOOKUP($A294,[2]P.O.!$A:$J,8,),"")</f>
        <v>2148.4899999999998</v>
      </c>
      <c r="I294" s="158">
        <f>IFERROR(VLOOKUP($A294,[2]P.O.!$A:$J,9,),"")</f>
        <v>4296.9799999999996</v>
      </c>
      <c r="J294" s="159">
        <f t="shared" si="36"/>
        <v>2.0219498286082509E-3</v>
      </c>
      <c r="K294" s="145">
        <f>IFERROR(VLOOKUP($A294,[2]P.O.!$A:$J,10,),"")</f>
        <v>0.25</v>
      </c>
      <c r="L294" s="265"/>
    </row>
    <row r="295" spans="1:12" s="232" customFormat="1" ht="49.5">
      <c r="A295" s="76" t="s">
        <v>382</v>
      </c>
      <c r="B295" s="91" t="str">
        <f>IFERROR(VLOOKUP($A295,[2]P.O.!$A:$J,2,),"")</f>
        <v>COMPS3081</v>
      </c>
      <c r="C295" s="91" t="str">
        <f>IFERROR(VLOOKUP($A295,[2]P.O.!$A:$J,3,),"")</f>
        <v>COMPOSIÇÃO</v>
      </c>
      <c r="D295" s="78" t="str">
        <f>IFERROR(VLOOKUP($A295,[2]P.O.!$A:$J,4,),"")</f>
        <v>FORNECIMENTO E INSTALAÇÃO DE ESQUADRIA EM FOLHA FIXA DE VIDRO TEMPERADO 6mm, (0,86x1,73/0,40m) ACABAMENTO TRANSLÚCIDO, FIXADO EM PERFIS DE ALUMÍNIO COM ACABAMENTO EM PINTURA ELETROSTÁTICA BRANCO.</v>
      </c>
      <c r="E295" s="91" t="str">
        <f>IFERROR(VLOOKUP($A295,[2]P.O.!$A:$J,5,),"")</f>
        <v>UND</v>
      </c>
      <c r="F295" s="139">
        <f>IFERROR(VLOOKUP($A295,[2]P.O.!$A:$J,6,),"")</f>
        <v>1</v>
      </c>
      <c r="G295" s="158">
        <f>IFERROR(VLOOKUP($A295,[2]P.O.!$A:$J,7,),"")</f>
        <v>1710.8</v>
      </c>
      <c r="H295" s="158">
        <f>IFERROR(VLOOKUP($A295,[2]P.O.!$A:$J,8,),"")</f>
        <v>2138.5</v>
      </c>
      <c r="I295" s="158">
        <f>IFERROR(VLOOKUP($A295,[2]P.O.!$A:$J,9,),"")</f>
        <v>2138.5</v>
      </c>
      <c r="J295" s="159">
        <f t="shared" si="36"/>
        <v>1.0062741061114423E-3</v>
      </c>
      <c r="K295" s="145">
        <f>IFERROR(VLOOKUP($A295,[2]P.O.!$A:$J,10,),"")</f>
        <v>0.25</v>
      </c>
      <c r="L295" s="265"/>
    </row>
    <row r="296" spans="1:12" s="232" customFormat="1" ht="49.5">
      <c r="A296" s="76" t="s">
        <v>383</v>
      </c>
      <c r="B296" s="91" t="str">
        <f>IFERROR(VLOOKUP($A296,[2]P.O.!$A:$J,2,),"")</f>
        <v>COMPS3082</v>
      </c>
      <c r="C296" s="91" t="str">
        <f>IFERROR(VLOOKUP($A296,[2]P.O.!$A:$J,3,),"")</f>
        <v>COMPOSIÇÃO</v>
      </c>
      <c r="D296" s="78" t="str">
        <f>IFERROR(VLOOKUP($A296,[2]P.O.!$A:$J,4,),"")</f>
        <v>FORNECIMENTO E INSTALAÇÃO DE ESQUADRIA EM FOLHA FIXA DE VIDRO TEMPERADO 6mm, (0,78x1,73/0,40m) ACABAMENTO TRANSLÚCIDO, FIXADO EM PERFIS DE ALUMÍNIO COM ACABAMENTO EM PINTURA ELETROSTÁTICA BRANCO.</v>
      </c>
      <c r="E296" s="91" t="str">
        <f>IFERROR(VLOOKUP($A296,[2]P.O.!$A:$J,5,),"")</f>
        <v>UND</v>
      </c>
      <c r="F296" s="139">
        <f>IFERROR(VLOOKUP($A296,[2]P.O.!$A:$J,6,),"")</f>
        <v>1</v>
      </c>
      <c r="G296" s="158">
        <f>IFERROR(VLOOKUP($A296,[2]P.O.!$A:$J,7,),"")</f>
        <v>1706.24</v>
      </c>
      <c r="H296" s="158">
        <f>IFERROR(VLOOKUP($A296,[2]P.O.!$A:$J,8,),"")</f>
        <v>2132.8000000000002</v>
      </c>
      <c r="I296" s="158">
        <f>IFERROR(VLOOKUP($A296,[2]P.O.!$A:$J,9,),"")</f>
        <v>2132.8000000000002</v>
      </c>
      <c r="J296" s="159">
        <f t="shared" si="36"/>
        <v>1.0035919632988002E-3</v>
      </c>
      <c r="K296" s="145">
        <f>IFERROR(VLOOKUP($A296,[2]P.O.!$A:$J,10,),"")</f>
        <v>0.25</v>
      </c>
      <c r="L296" s="265"/>
    </row>
    <row r="297" spans="1:12" s="232" customFormat="1" ht="49.5">
      <c r="A297" s="76" t="s">
        <v>384</v>
      </c>
      <c r="B297" s="91" t="str">
        <f>IFERROR(VLOOKUP($A297,[2]P.O.!$A:$J,2,),"")</f>
        <v>COMPS3083</v>
      </c>
      <c r="C297" s="91" t="str">
        <f>IFERROR(VLOOKUP($A297,[2]P.O.!$A:$J,3,),"")</f>
        <v>COMPOSIÇÃO</v>
      </c>
      <c r="D297" s="78" t="str">
        <f>IFERROR(VLOOKUP($A297,[2]P.O.!$A:$J,4,),"")</f>
        <v>FORNECIMENTO E INSTALAÇÃO DE ESQUADRIA EM FOLHA FIXA DE VIDRO TEMPERADO 6mm, (1,00x1,70/0,48m) ACABAMENTO TRANSLÚCIDO, FIXADO EM PERFIS DE ALUMÍNIO COM ACABAMENTO EM PINTURA ELETROSTÁTICA BRANCO.</v>
      </c>
      <c r="E297" s="91" t="str">
        <f>IFERROR(VLOOKUP($A297,[2]P.O.!$A:$J,5,),"")</f>
        <v>UND</v>
      </c>
      <c r="F297" s="139">
        <f>IFERROR(VLOOKUP($A297,[2]P.O.!$A:$J,6,),"")</f>
        <v>3</v>
      </c>
      <c r="G297" s="158">
        <f>IFERROR(VLOOKUP($A297,[2]P.O.!$A:$J,7,),"")</f>
        <v>1718.79</v>
      </c>
      <c r="H297" s="158">
        <f>IFERROR(VLOOKUP($A297,[2]P.O.!$A:$J,8,),"")</f>
        <v>2148.4899999999998</v>
      </c>
      <c r="I297" s="158">
        <f>IFERROR(VLOOKUP($A297,[2]P.O.!$A:$J,9,),"")</f>
        <v>6445.47</v>
      </c>
      <c r="J297" s="159">
        <f t="shared" si="36"/>
        <v>3.0329247429123768E-3</v>
      </c>
      <c r="K297" s="145">
        <f>IFERROR(VLOOKUP($A297,[2]P.O.!$A:$J,10,),"")</f>
        <v>0.25</v>
      </c>
      <c r="L297" s="265"/>
    </row>
    <row r="298" spans="1:12" s="232" customFormat="1" ht="49.5">
      <c r="A298" s="76" t="s">
        <v>385</v>
      </c>
      <c r="B298" s="91" t="str">
        <f>IFERROR(VLOOKUP($A298,[2]P.O.!$A:$J,2,),"")</f>
        <v>COMPS3084</v>
      </c>
      <c r="C298" s="91" t="str">
        <f>IFERROR(VLOOKUP($A298,[2]P.O.!$A:$J,3,),"")</f>
        <v>COMPOSIÇÃO</v>
      </c>
      <c r="D298" s="78" t="str">
        <f>IFERROR(VLOOKUP($A298,[2]P.O.!$A:$J,4,),"")</f>
        <v>FORNECIMENTO E INSTALAÇÃO DE ESQUADRIA EM FOLHA FIXA DE VIDRO TEMPERADO 6mm, (0,90x1,70/0,48m) ACABAMENTO TRANSLÚCIDO, FIXADO EM PERFIS DE ALUMÍNIO COM ACABAMENTO EM PINTURA ELETROSTÁTICA BRANCO.</v>
      </c>
      <c r="E298" s="91" t="str">
        <f>IFERROR(VLOOKUP($A298,[2]P.O.!$A:$J,5,),"")</f>
        <v>UND</v>
      </c>
      <c r="F298" s="139">
        <f>IFERROR(VLOOKUP($A298,[2]P.O.!$A:$J,6,),"")</f>
        <v>1</v>
      </c>
      <c r="G298" s="158">
        <f>IFERROR(VLOOKUP($A298,[2]P.O.!$A:$J,7,),"")</f>
        <v>1713.09</v>
      </c>
      <c r="H298" s="158">
        <f>IFERROR(VLOOKUP($A298,[2]P.O.!$A:$J,8,),"")</f>
        <v>2141.36</v>
      </c>
      <c r="I298" s="158">
        <f>IFERROR(VLOOKUP($A298,[2]P.O.!$A:$J,9,),"")</f>
        <v>2141.36</v>
      </c>
      <c r="J298" s="159">
        <f t="shared" si="36"/>
        <v>1.0076198830314697E-3</v>
      </c>
      <c r="K298" s="145">
        <f>IFERROR(VLOOKUP($A298,[2]P.O.!$A:$J,10,),"")</f>
        <v>0.25</v>
      </c>
      <c r="L298" s="265"/>
    </row>
    <row r="299" spans="1:12" s="232" customFormat="1">
      <c r="A299" s="76"/>
      <c r="B299" s="91"/>
      <c r="C299" s="91"/>
      <c r="D299" s="78"/>
      <c r="E299" s="91"/>
      <c r="F299" s="139"/>
      <c r="G299" s="158"/>
      <c r="H299" s="158"/>
      <c r="I299" s="158"/>
      <c r="J299" s="159"/>
      <c r="K299" s="141"/>
    </row>
    <row r="300" spans="1:12" s="235" customFormat="1">
      <c r="A300" s="95" t="s">
        <v>386</v>
      </c>
      <c r="B300" s="96"/>
      <c r="C300" s="96"/>
      <c r="D300" s="97" t="str">
        <f>IFERROR(VLOOKUP($A300,[2]P.O.!$A:$J,4,),"")</f>
        <v>GRADES</v>
      </c>
      <c r="E300" s="96"/>
      <c r="F300" s="163"/>
      <c r="G300" s="164"/>
      <c r="H300" s="164"/>
      <c r="I300" s="164"/>
      <c r="J300" s="165"/>
      <c r="K300" s="181"/>
    </row>
    <row r="301" spans="1:12" s="232" customFormat="1" ht="66">
      <c r="A301" s="76" t="s">
        <v>387</v>
      </c>
      <c r="B301" s="91" t="str">
        <f>IFERROR(VLOOKUP($A301,[2]P.O.!$A:$J,2,),"")</f>
        <v>COTSV3005</v>
      </c>
      <c r="C301" s="91" t="str">
        <f>IFERROR(VLOOKUP($A301,[2]P.O.!$A:$J,3,),"")</f>
        <v>COTAÇÃO</v>
      </c>
      <c r="D301" s="78" t="str">
        <f>IFERROR(VLOOKUP($A301,[2]P.O.!$A:$J,4,),"")</f>
        <v>G01 - FORNECIMENTO E INSTALAÇÃO DE ESQUADRIA TIPO FIXA/GIRO, EM ALUMINIO EXPANDIDO, ACABAMENTO ANODIZADO BRONZE, GRANIDESE SERIE ANGRA, COD.: GRANG, FABRICANTE PAPAIZ UNIDESE OU EQUIVALENTE TECNICO - DIMENSÕES 1,66 X 2,10M, COM 1 FOLHA DE GIRO 0,80X2,10 INCLUSO FECHADURA, FERRRAGENS E GUARNIÇÃO</v>
      </c>
      <c r="E301" s="91" t="str">
        <f>IFERROR(VLOOKUP($A301,[2]P.O.!$A:$J,5,),"")</f>
        <v>UND</v>
      </c>
      <c r="F301" s="139">
        <f>IFERROR(VLOOKUP($A301,[2]P.O.!$A:$J,6,),"")</f>
        <v>1</v>
      </c>
      <c r="G301" s="158">
        <f>IFERROR(VLOOKUP($A301,[2]P.O.!$A:$J,7,),"")</f>
        <v>2764.5900738157925</v>
      </c>
      <c r="H301" s="158">
        <f>IFERROR(VLOOKUP($A301,[2]P.O.!$A:$J,8,),"")</f>
        <v>3229.04</v>
      </c>
      <c r="I301" s="158">
        <f>IFERROR(VLOOKUP($A301,[2]P.O.!$A:$J,9,),"")</f>
        <v>3229.04</v>
      </c>
      <c r="J301" s="159">
        <f t="shared" ref="J301:J305" si="37">IF(I301="","",I301/$E$777)</f>
        <v>1.519429197848067E-3</v>
      </c>
      <c r="K301" s="145">
        <f>IFERROR(VLOOKUP($A301,[2]P.O.!$A:$J,10,),"")</f>
        <v>0.16800000000000001</v>
      </c>
      <c r="L301" s="265"/>
    </row>
    <row r="302" spans="1:12" s="232" customFormat="1" ht="49.5">
      <c r="A302" s="76" t="s">
        <v>388</v>
      </c>
      <c r="B302" s="91" t="str">
        <f>IFERROR(VLOOKUP($A302,[2]P.O.!$A:$J,2,),"")</f>
        <v>COTSV3006</v>
      </c>
      <c r="C302" s="91" t="str">
        <f>IFERROR(VLOOKUP($A302,[2]P.O.!$A:$J,3,),"")</f>
        <v>COTAÇÃO</v>
      </c>
      <c r="D302" s="78" t="str">
        <f>IFERROR(VLOOKUP($A302,[2]P.O.!$A:$J,4,),"")</f>
        <v>G02 - FORNECIMENTO E INSTALAÇÃO DE ESQUADRIA TIPO MÓVEL, EM ALUMINIO EXPANDIDO, ACABAMENTO ANODIZADO BRONZE, GRANIDESE SERIE ANGRA, COD.: GRANG, FABRICANTE PAPAIZ UNIDESE OU EQUIVALENTE TECNICO - DIMENSÕES 10,64 X 2,10M</v>
      </c>
      <c r="E302" s="91" t="str">
        <f>IFERROR(VLOOKUP($A302,[2]P.O.!$A:$J,5,),"")</f>
        <v>UND</v>
      </c>
      <c r="F302" s="139">
        <f>IFERROR(VLOOKUP($A302,[2]P.O.!$A:$J,6,),"")</f>
        <v>1</v>
      </c>
      <c r="G302" s="158">
        <f>IFERROR(VLOOKUP($A302,[2]P.O.!$A:$J,7,),"")</f>
        <v>17347.490229107036</v>
      </c>
      <c r="H302" s="158">
        <f>IFERROR(VLOOKUP($A302,[2]P.O.!$A:$J,8,),"")</f>
        <v>20261.87</v>
      </c>
      <c r="I302" s="158">
        <f>IFERROR(VLOOKUP($A302,[2]P.O.!$A:$J,9,),"")</f>
        <v>20261.87</v>
      </c>
      <c r="J302" s="159">
        <f t="shared" si="37"/>
        <v>9.5342507002086716E-3</v>
      </c>
      <c r="K302" s="145">
        <f>IFERROR(VLOOKUP($A302,[2]P.O.!$A:$J,10,),"")</f>
        <v>0.16800000000000001</v>
      </c>
      <c r="L302" s="265"/>
    </row>
    <row r="303" spans="1:12" s="232" customFormat="1" ht="66">
      <c r="A303" s="76" t="s">
        <v>389</v>
      </c>
      <c r="B303" s="91" t="str">
        <f>IFERROR(VLOOKUP($A303,[2]P.O.!$A:$J,2,),"")</f>
        <v>COTSV3007</v>
      </c>
      <c r="C303" s="91" t="str">
        <f>IFERROR(VLOOKUP($A303,[2]P.O.!$A:$J,3,),"")</f>
        <v>COTAÇÃO</v>
      </c>
      <c r="D303" s="78" t="str">
        <f>IFERROR(VLOOKUP($A303,[2]P.O.!$A:$J,4,),"")</f>
        <v>G03 - FORNECIMENTO E INSTALAÇÃO DE PORTA DE CORRER, 2 FOLHAS, EM VENEZIANA DE ALUMINIO COM ACABAMENTO ANODIZADO BRONZE, INCLUSIVE FECHADURA LINHA 901 PARA PORTA DE CORRER FAB. STAM OU EQUIVALENTE TECNICO E GUARNIÇÃO - DIMENSÕES 1,60 X 1,72M, SENDO 2 FOLHAS DE CORRER 0,80X1,72M</v>
      </c>
      <c r="E303" s="91" t="str">
        <f>IFERROR(VLOOKUP($A303,[2]P.O.!$A:$J,5,),"")</f>
        <v>UND</v>
      </c>
      <c r="F303" s="139">
        <f>IFERROR(VLOOKUP($A303,[2]P.O.!$A:$J,6,),"")</f>
        <v>1</v>
      </c>
      <c r="G303" s="158">
        <f>IFERROR(VLOOKUP($A303,[2]P.O.!$A:$J,7,),"")</f>
        <v>1098.653855588803</v>
      </c>
      <c r="H303" s="158">
        <f>IFERROR(VLOOKUP($A303,[2]P.O.!$A:$J,8,),"")</f>
        <v>1283.23</v>
      </c>
      <c r="I303" s="158">
        <f>IFERROR(VLOOKUP($A303,[2]P.O.!$A:$J,9,),"")</f>
        <v>1283.23</v>
      </c>
      <c r="J303" s="159">
        <f t="shared" si="37"/>
        <v>6.0382563534504838E-4</v>
      </c>
      <c r="K303" s="145">
        <f>IFERROR(VLOOKUP($A303,[2]P.O.!$A:$J,10,),"")</f>
        <v>0.16800000000000001</v>
      </c>
      <c r="L303" s="265"/>
    </row>
    <row r="304" spans="1:12" s="232" customFormat="1" ht="66">
      <c r="A304" s="76" t="s">
        <v>390</v>
      </c>
      <c r="B304" s="91" t="str">
        <f>IFERROR(VLOOKUP($A304,[2]P.O.!$A:$J,2,),"")</f>
        <v>COTSV3008</v>
      </c>
      <c r="C304" s="91" t="str">
        <f>IFERROR(VLOOKUP($A304,[2]P.O.!$A:$J,3,),"")</f>
        <v>COTAÇÃO</v>
      </c>
      <c r="D304" s="78" t="str">
        <f>IFERROR(VLOOKUP($A304,[2]P.O.!$A:$J,4,),"")</f>
        <v>G04 - FORNECIMENTO E INSTALAÇÃO DE ESQUADRIA TIPO FIXA/GIRO, EM ALUMINIO EXPANDIDO, ACABAMENTO ANODIZADO BRONZE, GRANIDESE SERIE ANGRA, COD.: GRANG, FABRICANTE PAPAIZ UNIDESE OU EQUIVALENTE TECNICO - DIMENSÕES 1,05 X 2,10M, COM 1 FOLHA DE GIRO 0,80X2,10 INCLUSO FECHADURA, FERRRAGENS E GUARNIÇÃO</v>
      </c>
      <c r="E304" s="91" t="str">
        <f>IFERROR(VLOOKUP($A304,[2]P.O.!$A:$J,5,),"")</f>
        <v>UND</v>
      </c>
      <c r="F304" s="139">
        <f>IFERROR(VLOOKUP($A304,[2]P.O.!$A:$J,6,),"")</f>
        <v>1</v>
      </c>
      <c r="G304" s="158">
        <f>IFERROR(VLOOKUP($A304,[2]P.O.!$A:$J,7,),"")</f>
        <v>1748.6865482083895</v>
      </c>
      <c r="H304" s="158">
        <f>IFERROR(VLOOKUP($A304,[2]P.O.!$A:$J,8,),"")</f>
        <v>2042.47</v>
      </c>
      <c r="I304" s="158">
        <f>IFERROR(VLOOKUP($A304,[2]P.O.!$A:$J,9,),"")</f>
        <v>2042.47</v>
      </c>
      <c r="J304" s="159">
        <f t="shared" si="37"/>
        <v>9.6108705798898168E-4</v>
      </c>
      <c r="K304" s="145">
        <f>IFERROR(VLOOKUP($A304,[2]P.O.!$A:$J,10,),"")</f>
        <v>0.16800000000000001</v>
      </c>
      <c r="L304" s="265"/>
    </row>
    <row r="305" spans="1:12" s="235" customFormat="1" ht="49.5">
      <c r="A305" s="76" t="s">
        <v>391</v>
      </c>
      <c r="B305" s="91" t="str">
        <f>IFERROR(VLOOKUP($A305,[2]P.O.!$A:$J,2,),"")</f>
        <v>COTSV3009</v>
      </c>
      <c r="C305" s="91" t="str">
        <f>IFERROR(VLOOKUP($A305,[2]P.O.!$A:$J,3,),"")</f>
        <v>COTAÇÃO</v>
      </c>
      <c r="D305" s="78" t="str">
        <f>IFERROR(VLOOKUP($A305,[2]P.O.!$A:$J,4,),"")</f>
        <v>G05 - FORNECIMENTO E INSTALAÇÃO DE ESQUADRIA TIPO FIXA, EM ALUMINIO EXPANDIDO, ACABAMENTO ANODIZADO BRONZE, GRANIDESE SERIE ANGRA, COD.: GRANG, FABRICANTE PAPAIZ UNIDESE OU EQUIVALENTE TECNICO - DIMENSÕES 21,79 X 2,10M</v>
      </c>
      <c r="E305" s="91" t="str">
        <f>IFERROR(VLOOKUP($A305,[2]P.O.!$A:$J,5,),"")</f>
        <v>UND</v>
      </c>
      <c r="F305" s="139">
        <f>IFERROR(VLOOKUP($A305,[2]P.O.!$A:$J,6,),"")</f>
        <v>1</v>
      </c>
      <c r="G305" s="158">
        <f>IFERROR(VLOOKUP($A305,[2]P.O.!$A:$J,7,),"")</f>
        <v>34599.222936346581</v>
      </c>
      <c r="H305" s="158">
        <f>IFERROR(VLOOKUP($A305,[2]P.O.!$A:$J,8,),"")</f>
        <v>40411.89</v>
      </c>
      <c r="I305" s="158">
        <f>IFERROR(VLOOKUP($A305,[2]P.O.!$A:$J,9,),"")</f>
        <v>40411.89</v>
      </c>
      <c r="J305" s="159">
        <f t="shared" si="37"/>
        <v>1.9015870229611376E-2</v>
      </c>
      <c r="K305" s="145">
        <f>IFERROR(VLOOKUP($A305,[2]P.O.!$A:$J,10,),"")</f>
        <v>0.16800000000000001</v>
      </c>
      <c r="L305" s="265"/>
    </row>
    <row r="306" spans="1:12" s="232" customFormat="1">
      <c r="A306" s="76"/>
      <c r="B306" s="91"/>
      <c r="C306" s="91"/>
      <c r="D306" s="78"/>
      <c r="E306" s="91"/>
      <c r="F306" s="139"/>
      <c r="G306" s="158"/>
      <c r="H306" s="158"/>
      <c r="I306" s="158"/>
      <c r="J306" s="159"/>
      <c r="K306" s="141"/>
    </row>
    <row r="307" spans="1:12" s="235" customFormat="1">
      <c r="A307" s="95" t="s">
        <v>392</v>
      </c>
      <c r="B307" s="96"/>
      <c r="C307" s="96"/>
      <c r="D307" s="97" t="str">
        <f>IFERROR(VLOOKUP($A307,[2]P.O.!$A:$J,4,),"")</f>
        <v>DIVISÓRIAS</v>
      </c>
      <c r="E307" s="96"/>
      <c r="F307" s="163"/>
      <c r="G307" s="164"/>
      <c r="H307" s="164"/>
      <c r="I307" s="164"/>
      <c r="J307" s="165"/>
      <c r="K307" s="181"/>
    </row>
    <row r="308" spans="1:12" s="232" customFormat="1" ht="66">
      <c r="A308" s="76" t="s">
        <v>393</v>
      </c>
      <c r="B308" s="91" t="str">
        <f>IFERROR(VLOOKUP($A308,[2]P.O.!$A:$J,2,),"")</f>
        <v>COTSV3010</v>
      </c>
      <c r="C308" s="91" t="str">
        <f>IFERROR(VLOOKUP($A308,[2]P.O.!$A:$J,3,),"")</f>
        <v>COTAÇÃO</v>
      </c>
      <c r="D308" s="78" t="str">
        <f>IFERROR(VLOOKUP($A308,[2]P.O.!$A:$J,4,),"")</f>
        <v>D01 - FORNECIMENTO E INSTALAÇÃO DE DIVISÓRIA, TIPO FIXA/GIRO, DE COMPENSADO COM REVESTIMENTO MELAMÍNICO E PERFIL METÁLICO NA COR AREIA JUNDIAÍ, LINHA DIVILUX - FORMIDUR DP, EUCATEX OU EQUIVALENTE TÉCNICO - DIMENSÕES 3,56X2,10M, INCLUSIVE PORTA DE 0,82M</v>
      </c>
      <c r="E308" s="91" t="str">
        <f>IFERROR(VLOOKUP($A308,[2]P.O.!$A:$J,5,),"")</f>
        <v>UND</v>
      </c>
      <c r="F308" s="139">
        <f>IFERROR(VLOOKUP($A308,[2]P.O.!$A:$J,6,),"")</f>
        <v>2</v>
      </c>
      <c r="G308" s="158">
        <f>IFERROR(VLOOKUP($A308,[2]P.O.!$A:$J,7,),"")</f>
        <v>712.59427357301422</v>
      </c>
      <c r="H308" s="158">
        <f>IFERROR(VLOOKUP($A308,[2]P.O.!$A:$J,8,),"")</f>
        <v>832.31</v>
      </c>
      <c r="I308" s="158">
        <f>IFERROR(VLOOKUP($A308,[2]P.O.!$A:$J,9,),"")</f>
        <v>1664.62</v>
      </c>
      <c r="J308" s="159">
        <f t="shared" ref="J308:J313" si="38">IF(I308="","",I308/$E$777)</f>
        <v>7.8328922259304594E-4</v>
      </c>
      <c r="K308" s="145">
        <f>IFERROR(VLOOKUP($A308,[2]P.O.!$A:$J,10,),"")</f>
        <v>0.16800000000000001</v>
      </c>
      <c r="L308" s="265"/>
    </row>
    <row r="309" spans="1:12" s="232" customFormat="1" ht="49.5">
      <c r="A309" s="76" t="s">
        <v>394</v>
      </c>
      <c r="B309" s="91" t="str">
        <f>IFERROR(VLOOKUP($A309,[2]P.O.!$A:$J,2,),"")</f>
        <v>COTSV3011</v>
      </c>
      <c r="C309" s="91" t="str">
        <f>IFERROR(VLOOKUP($A309,[2]P.O.!$A:$J,3,),"")</f>
        <v>COTAÇÃO</v>
      </c>
      <c r="D309" s="78" t="str">
        <f>IFERROR(VLOOKUP($A309,[2]P.O.!$A:$J,4,),"")</f>
        <v>D02 - FORNECIMENTO E INSTALAÇÃO DE DIVISÓRIA, TIPO FIXA, DE COMPENSADO COM REVESTIMENTO MELAMÍNICO E PERFIL METÁLICO NA COR AREIA JUNDIAÍ, LINHA DIVILUX - FORMIDUR DP, EUCATEX OU EQUIVALENTE TÉCNICO - DIMENSÕES 3,41X2,10M</v>
      </c>
      <c r="E309" s="91" t="str">
        <f>IFERROR(VLOOKUP($A309,[2]P.O.!$A:$J,5,),"")</f>
        <v>UND</v>
      </c>
      <c r="F309" s="139">
        <f>IFERROR(VLOOKUP($A309,[2]P.O.!$A:$J,6,),"")</f>
        <v>1</v>
      </c>
      <c r="G309" s="158">
        <f>IFERROR(VLOOKUP($A309,[2]P.O.!$A:$J,7,),"")</f>
        <v>534.87489214035827</v>
      </c>
      <c r="H309" s="158">
        <f>IFERROR(VLOOKUP($A309,[2]P.O.!$A:$J,8,),"")</f>
        <v>624.73</v>
      </c>
      <c r="I309" s="158">
        <f>IFERROR(VLOOKUP($A309,[2]P.O.!$A:$J,9,),"")</f>
        <v>624.73</v>
      </c>
      <c r="J309" s="159">
        <f t="shared" si="38"/>
        <v>2.9396755777928512E-4</v>
      </c>
      <c r="K309" s="145">
        <f>IFERROR(VLOOKUP($A309,[2]P.O.!$A:$J,10,),"")</f>
        <v>0.16800000000000001</v>
      </c>
      <c r="L309" s="265"/>
    </row>
    <row r="310" spans="1:12" s="232" customFormat="1" ht="66">
      <c r="A310" s="76" t="s">
        <v>395</v>
      </c>
      <c r="B310" s="91" t="str">
        <f>IFERROR(VLOOKUP($A310,[2]P.O.!$A:$J,2,),"")</f>
        <v>COTSV3012</v>
      </c>
      <c r="C310" s="91" t="str">
        <f>IFERROR(VLOOKUP($A310,[2]P.O.!$A:$J,3,),"")</f>
        <v>COTAÇÃO</v>
      </c>
      <c r="D310" s="78" t="str">
        <f>IFERROR(VLOOKUP($A310,[2]P.O.!$A:$J,4,),"")</f>
        <v>D03 - FORNECIMENTO E INSTALAÇÃO DE DIVISÓRIA, TIPO FIXA/GIRO, DE COMPENSADO COM REVESTIMENTO MELAMÍNICO E PERFIL METÁLICO NA COR AREIA JUNDIAÍ, LINHA DIVILUX - FORMIDUR DP, EUCATEX OU EQUIVALENTE TÉCNICO - DIMENSÕES 4,07X2,10M, INCLUSIVE PORTA DE 0,82M</v>
      </c>
      <c r="E310" s="91" t="str">
        <f>IFERROR(VLOOKUP($A310,[2]P.O.!$A:$J,5,),"")</f>
        <v>UND</v>
      </c>
      <c r="F310" s="139">
        <f>IFERROR(VLOOKUP($A310,[2]P.O.!$A:$J,6,),"")</f>
        <v>1</v>
      </c>
      <c r="G310" s="158">
        <f>IFERROR(VLOOKUP($A310,[2]P.O.!$A:$J,7,),"")</f>
        <v>792.59266704298909</v>
      </c>
      <c r="H310" s="158">
        <f>IFERROR(VLOOKUP($A310,[2]P.O.!$A:$J,8,),"")</f>
        <v>925.75</v>
      </c>
      <c r="I310" s="158">
        <f>IFERROR(VLOOKUP($A310,[2]P.O.!$A:$J,9,),"")</f>
        <v>925.75</v>
      </c>
      <c r="J310" s="159">
        <f t="shared" si="38"/>
        <v>4.3561293136902855E-4</v>
      </c>
      <c r="K310" s="145">
        <f>IFERROR(VLOOKUP($A310,[2]P.O.!$A:$J,10,),"")</f>
        <v>0.16800000000000001</v>
      </c>
      <c r="L310" s="265"/>
    </row>
    <row r="311" spans="1:12" s="232" customFormat="1" ht="49.5">
      <c r="A311" s="76" t="s">
        <v>396</v>
      </c>
      <c r="B311" s="91" t="str">
        <f>IFERROR(VLOOKUP($A311,[2]P.O.!$A:$J,2,),"")</f>
        <v>COTSV3013</v>
      </c>
      <c r="C311" s="91" t="str">
        <f>IFERROR(VLOOKUP($A311,[2]P.O.!$A:$J,3,),"")</f>
        <v>COTAÇÃO</v>
      </c>
      <c r="D311" s="78" t="str">
        <f>IFERROR(VLOOKUP($A311,[2]P.O.!$A:$J,4,),"")</f>
        <v>D04 - FORNECIMENTO E INSTALAÇÃO DE DIVISÓRIA, TIPO FIXA, DE COMPENSADO COM REVESTIMENTO MELAMÍNICO E PERFIL METÁLICO NA COR AREIA JUNDIAÍ, LINHA DIVILUX - FORMIDUR DP, EUCATEX OU EQUIVALENTE TÉCNICO - DIMENSÕES 2,93X2,10M</v>
      </c>
      <c r="E311" s="91" t="str">
        <f>IFERROR(VLOOKUP($A311,[2]P.O.!$A:$J,5,),"")</f>
        <v>UND</v>
      </c>
      <c r="F311" s="139">
        <f>IFERROR(VLOOKUP($A311,[2]P.O.!$A:$J,6,),"")</f>
        <v>1</v>
      </c>
      <c r="G311" s="158">
        <f>IFERROR(VLOOKUP($A311,[2]P.O.!$A:$J,7,),"")</f>
        <v>459.58470532795832</v>
      </c>
      <c r="H311" s="158">
        <f>IFERROR(VLOOKUP($A311,[2]P.O.!$A:$J,8,),"")</f>
        <v>536.79</v>
      </c>
      <c r="I311" s="158">
        <f>IFERROR(VLOOKUP($A311,[2]P.O.!$A:$J,9,),"")</f>
        <v>536.79</v>
      </c>
      <c r="J311" s="159">
        <f t="shared" si="38"/>
        <v>2.5258727024529389E-4</v>
      </c>
      <c r="K311" s="145">
        <f>IFERROR(VLOOKUP($A311,[2]P.O.!$A:$J,10,),"")</f>
        <v>0.16800000000000001</v>
      </c>
      <c r="L311" s="265"/>
    </row>
    <row r="312" spans="1:12" s="235" customFormat="1" ht="49.5">
      <c r="A312" s="76" t="s">
        <v>397</v>
      </c>
      <c r="B312" s="91" t="str">
        <f>IFERROR(VLOOKUP($A312,[2]P.O.!$A:$J,2,),"")</f>
        <v>COTSV3014</v>
      </c>
      <c r="C312" s="91" t="str">
        <f>IFERROR(VLOOKUP($A312,[2]P.O.!$A:$J,3,),"")</f>
        <v>COTAÇÃO</v>
      </c>
      <c r="D312" s="78" t="str">
        <f>IFERROR(VLOOKUP($A312,[2]P.O.!$A:$J,4,),"")</f>
        <v>D05 - FORNECIMENTO E INSTALAÇÃO DE DIVISÓRIA, TIPO FIXA, DE COMPENSADO COM REVESTIMENTO MELAMÍNICO E PERFIL METÁLICO NA COR AREIA JUNDIAÍ, LINHA DIVILUX - FORMIDUR DP, EUCATEX OU EQUIVALENTE TÉCNICO - DIMENSÕES 5,66X2,10M</v>
      </c>
      <c r="E312" s="91" t="str">
        <f>IFERROR(VLOOKUP($A312,[2]P.O.!$A:$J,5,),"")</f>
        <v>UND</v>
      </c>
      <c r="F312" s="139">
        <f>IFERROR(VLOOKUP($A312,[2]P.O.!$A:$J,6,),"")</f>
        <v>1</v>
      </c>
      <c r="G312" s="158">
        <f>IFERROR(VLOOKUP($A312,[2]P.O.!$A:$J,7,),"")</f>
        <v>887.79507284168335</v>
      </c>
      <c r="H312" s="158">
        <f>IFERROR(VLOOKUP($A312,[2]P.O.!$A:$J,8,),"")</f>
        <v>1036.94</v>
      </c>
      <c r="I312" s="158">
        <f>IFERROR(VLOOKUP($A312,[2]P.O.!$A:$J,9,),"")</f>
        <v>1036.94</v>
      </c>
      <c r="J312" s="159">
        <f t="shared" si="38"/>
        <v>4.8793353827037594E-4</v>
      </c>
      <c r="K312" s="145">
        <f>IFERROR(VLOOKUP($A312,[2]P.O.!$A:$J,10,),"")</f>
        <v>0.16800000000000001</v>
      </c>
      <c r="L312" s="265"/>
    </row>
    <row r="313" spans="1:12" s="232" customFormat="1" ht="66">
      <c r="A313" s="76" t="s">
        <v>398</v>
      </c>
      <c r="B313" s="91" t="str">
        <f>IFERROR(VLOOKUP($A313,[2]P.O.!$A:$J,2,),"")</f>
        <v>COTSV3015</v>
      </c>
      <c r="C313" s="91" t="str">
        <f>IFERROR(VLOOKUP($A313,[2]P.O.!$A:$J,3,),"")</f>
        <v>COTAÇÃO</v>
      </c>
      <c r="D313" s="78" t="str">
        <f>IFERROR(VLOOKUP($A313,[2]P.O.!$A:$J,4,),"")</f>
        <v>D06 - FORNECIMENTO E INSTALAÇÃO DE DIVISÓRIA, TIPO FIXA/GIRO, DE COMPENSADO COM REVESTIMENTO MELAMÍNICO E PERFIL METÁLICO NA COR AREIA JUNDIAÍ, LINHA DIVILUX - FORMIDUR DP, EUCATEX OU EQUIVALENTE TÉCNICO - DIMENSÕES 1,06X2,10M, INCLUSIVE PORTA DE 0,82M</v>
      </c>
      <c r="E313" s="91" t="str">
        <f>IFERROR(VLOOKUP($A313,[2]P.O.!$A:$J,5,),"")</f>
        <v>UND</v>
      </c>
      <c r="F313" s="139">
        <f>IFERROR(VLOOKUP($A313,[2]P.O.!$A:$J,6,),"")</f>
        <v>1</v>
      </c>
      <c r="G313" s="158">
        <f>IFERROR(VLOOKUP($A313,[2]P.O.!$A:$J,7,),"")</f>
        <v>320.46645053109745</v>
      </c>
      <c r="H313" s="158">
        <f>IFERROR(VLOOKUP($A313,[2]P.O.!$A:$J,8,),"")</f>
        <v>374.3</v>
      </c>
      <c r="I313" s="158">
        <f>IFERROR(VLOOKUP($A313,[2]P.O.!$A:$J,9,),"")</f>
        <v>374.3</v>
      </c>
      <c r="J313" s="159">
        <f t="shared" si="38"/>
        <v>1.7612737803016733E-4</v>
      </c>
      <c r="K313" s="145">
        <f>IFERROR(VLOOKUP($A313,[2]P.O.!$A:$J,10,),"")</f>
        <v>0.16800000000000001</v>
      </c>
      <c r="L313" s="265"/>
    </row>
    <row r="314" spans="1:12" s="232" customFormat="1">
      <c r="A314" s="76"/>
      <c r="B314" s="91"/>
      <c r="C314" s="91"/>
      <c r="D314" s="78"/>
      <c r="E314" s="91"/>
      <c r="F314" s="139"/>
      <c r="G314" s="158"/>
      <c r="H314" s="158"/>
      <c r="I314" s="158"/>
      <c r="J314" s="159"/>
      <c r="K314" s="141"/>
    </row>
    <row r="315" spans="1:12" s="235" customFormat="1">
      <c r="A315" s="95" t="s">
        <v>399</v>
      </c>
      <c r="B315" s="96"/>
      <c r="C315" s="96"/>
      <c r="D315" s="97" t="str">
        <f>IFERROR(VLOOKUP($A315,[2]P.O.!$A:$J,4,),"")</f>
        <v>VÃOS</v>
      </c>
      <c r="E315" s="96"/>
      <c r="F315" s="163"/>
      <c r="G315" s="164"/>
      <c r="H315" s="164"/>
      <c r="I315" s="164"/>
      <c r="J315" s="165"/>
      <c r="K315" s="181"/>
    </row>
    <row r="316" spans="1:12" s="232" customFormat="1" ht="49.5">
      <c r="A316" s="76" t="s">
        <v>400</v>
      </c>
      <c r="B316" s="91" t="str">
        <f>IFERROR(VLOOKUP($A316,[2]P.O.!$A:$J,2,),"")</f>
        <v>COMPS3061</v>
      </c>
      <c r="C316" s="91" t="str">
        <f>IFERROR(VLOOKUP($A316,[2]P.O.!$A:$J,3,),"")</f>
        <v>COMPOSIÇÃO</v>
      </c>
      <c r="D316" s="78" t="str">
        <f>IFERROR(VLOOKUP($A316,[2]P.O.!$A:$J,4,),"")</f>
        <v>V01 - REVISÃO E REPARO DE VÃO DE PASSAGEM (1,55X2,96M) COM GRADE DE MADEIRA, BANDEIRA FIXA DE MADEIRA E VIDRO. INSERIR BACALHAU DE 10CM PARA NIVELAR A GRADE DE MADEIRA DO VÃO COM O PISO, CONFORME DETALHE.</v>
      </c>
      <c r="E316" s="91" t="str">
        <f>IFERROR(VLOOKUP($A316,[2]P.O.!$A:$J,5,),"")</f>
        <v>UND</v>
      </c>
      <c r="F316" s="139">
        <f>IFERROR(VLOOKUP($A316,[2]P.O.!$A:$J,6,),"")</f>
        <v>2</v>
      </c>
      <c r="G316" s="158">
        <f>IFERROR(VLOOKUP($A316,[2]P.O.!$A:$J,7,),"")</f>
        <v>178.87</v>
      </c>
      <c r="H316" s="158">
        <f>IFERROR(VLOOKUP($A316,[2]P.O.!$A:$J,8,),"")</f>
        <v>223.59</v>
      </c>
      <c r="I316" s="158">
        <f>IFERROR(VLOOKUP($A316,[2]P.O.!$A:$J,9,),"")</f>
        <v>447.18</v>
      </c>
      <c r="J316" s="159">
        <f t="shared" ref="J316:J317" si="39">IF(I316="","",I316/$E$777)</f>
        <v>2.1042116192233562E-4</v>
      </c>
      <c r="K316" s="145">
        <f>IFERROR(VLOOKUP($A316,[2]P.O.!$A:$J,10,),"")</f>
        <v>0.25</v>
      </c>
      <c r="L316" s="265"/>
    </row>
    <row r="317" spans="1:12" s="232" customFormat="1" ht="49.5">
      <c r="A317" s="76" t="s">
        <v>401</v>
      </c>
      <c r="B317" s="91" t="str">
        <f>IFERROR(VLOOKUP($A317,[2]P.O.!$A:$J,2,),"")</f>
        <v>COMPS3062</v>
      </c>
      <c r="C317" s="91" t="str">
        <f>IFERROR(VLOOKUP($A317,[2]P.O.!$A:$J,3,),"")</f>
        <v>COMPOSIÇÃO</v>
      </c>
      <c r="D317" s="78" t="str">
        <f>IFERROR(VLOOKUP($A317,[2]P.O.!$A:$J,4,),"")</f>
        <v>V02 - FORNECIMENTO E INSTALAÇÃO DE CHAPIM DE MADEIRA, TIPO IPÊ, E=2,0CM E L=15CM, PINTADA COM STAIN ACETINADO INCOLOR - DIMENSÕES 0,15 X 22,64M, A SER FIXADO NOS VÃOS DAS PAREDES DO BLOCO ANEXO EM GERAL.</v>
      </c>
      <c r="E317" s="91" t="str">
        <f>IFERROR(VLOOKUP($A317,[2]P.O.!$A:$J,5,),"")</f>
        <v>UND</v>
      </c>
      <c r="F317" s="139">
        <f>IFERROR(VLOOKUP($A317,[2]P.O.!$A:$J,6,),"")</f>
        <v>1</v>
      </c>
      <c r="G317" s="158">
        <f>IFERROR(VLOOKUP($A317,[2]P.O.!$A:$J,7,),"")</f>
        <v>716.55</v>
      </c>
      <c r="H317" s="158">
        <f>IFERROR(VLOOKUP($A317,[2]P.O.!$A:$J,8,),"")</f>
        <v>895.69</v>
      </c>
      <c r="I317" s="158">
        <f>IFERROR(VLOOKUP($A317,[2]P.O.!$A:$J,9,),"")</f>
        <v>895.69</v>
      </c>
      <c r="J317" s="159">
        <f t="shared" si="39"/>
        <v>4.2146815716762108E-4</v>
      </c>
      <c r="K317" s="145">
        <f>IFERROR(VLOOKUP($A317,[2]P.O.!$A:$J,10,),"")</f>
        <v>0.25</v>
      </c>
      <c r="L317" s="265"/>
    </row>
    <row r="318" spans="1:12" s="232" customFormat="1">
      <c r="A318" s="76"/>
      <c r="B318" s="91"/>
      <c r="C318" s="91"/>
      <c r="D318" s="78"/>
      <c r="E318" s="91"/>
      <c r="F318" s="139"/>
      <c r="G318" s="158"/>
      <c r="H318" s="158"/>
      <c r="I318" s="158"/>
      <c r="J318" s="159"/>
      <c r="K318" s="141"/>
    </row>
    <row r="319" spans="1:12" s="232" customFormat="1">
      <c r="A319" s="76"/>
      <c r="B319" s="91"/>
      <c r="C319" s="91"/>
      <c r="D319" s="78"/>
      <c r="E319" s="91"/>
      <c r="F319" s="139"/>
      <c r="G319" s="158"/>
      <c r="H319" s="158"/>
      <c r="I319" s="158"/>
      <c r="J319" s="159"/>
      <c r="K319" s="141"/>
    </row>
    <row r="320" spans="1:12" s="231" customFormat="1">
      <c r="A320" s="107" t="s">
        <v>48</v>
      </c>
      <c r="B320" s="108"/>
      <c r="C320" s="108"/>
      <c r="D320" s="109" t="str">
        <f>IFERROR(VLOOKUP($A320,[2]P.O.!$A:$J,4,),"")</f>
        <v>PAISAGISMO / URBANISMO</v>
      </c>
      <c r="E320" s="175"/>
      <c r="F320" s="176"/>
      <c r="G320" s="177"/>
      <c r="H320" s="177"/>
      <c r="I320" s="178">
        <f>SUM(I321:I355)</f>
        <v>272737.57000000007</v>
      </c>
      <c r="J320" s="248">
        <f>IF(I320="","",I320/$E$777)</f>
        <v>0.12833703738824268</v>
      </c>
      <c r="K320" s="179"/>
    </row>
    <row r="321" spans="1:12" s="232" customFormat="1">
      <c r="A321" s="76"/>
      <c r="B321" s="77"/>
      <c r="C321" s="77"/>
      <c r="D321" s="78"/>
      <c r="E321" s="91"/>
      <c r="F321" s="139"/>
      <c r="G321" s="140"/>
      <c r="H321" s="140"/>
      <c r="I321" s="140"/>
      <c r="J321" s="159"/>
      <c r="K321" s="141"/>
    </row>
    <row r="322" spans="1:12" s="235" customFormat="1">
      <c r="A322" s="95" t="s">
        <v>49</v>
      </c>
      <c r="B322" s="110"/>
      <c r="C322" s="110"/>
      <c r="D322" s="97" t="str">
        <f>IFERROR(VLOOKUP($A322,[2]P.O.!$A:$J,4,),"")</f>
        <v>SERVIÇOS PRELIMINARES</v>
      </c>
      <c r="E322" s="96"/>
      <c r="F322" s="163"/>
      <c r="G322" s="180"/>
      <c r="H322" s="180"/>
      <c r="I322" s="180"/>
      <c r="J322" s="165"/>
      <c r="K322" s="181"/>
    </row>
    <row r="323" spans="1:12" s="232" customFormat="1">
      <c r="A323" s="76" t="s">
        <v>50</v>
      </c>
      <c r="B323" s="77" t="str">
        <f>IFERROR(VLOOKUP($A323,[2]P.O.!$A:$J,2,),"")</f>
        <v>73822/001</v>
      </c>
      <c r="C323" s="77" t="str">
        <f>IFERROR(VLOOKUP($A323,[2]P.O.!$A:$J,3,),"")</f>
        <v>SINAPI SERVIÇO</v>
      </c>
      <c r="D323" s="78" t="str">
        <f>IFERROR(VLOOKUP($A323,[2]P.O.!$A:$J,4,),"")</f>
        <v>CAPINA E LIMPEZA MANUAL DE TERRENO COM PEQUENOS ARBUSTOS</v>
      </c>
      <c r="E323" s="91" t="str">
        <f>IFERROR(VLOOKUP($A323,[2]P.O.!$A:$J,5,),"")</f>
        <v>M2</v>
      </c>
      <c r="F323" s="139">
        <f>IFERROR(VLOOKUP($A323,[2]P.O.!$A:$J,6,),"")</f>
        <v>993.1</v>
      </c>
      <c r="G323" s="140">
        <f>IFERROR(VLOOKUP($A323,[2]P.O.!$A:$J,7,),"")</f>
        <v>3.67</v>
      </c>
      <c r="H323" s="158">
        <f>IFERROR(VLOOKUP($A323,[2]P.O.!$A:$J,8,),"")</f>
        <v>4.59</v>
      </c>
      <c r="I323" s="158">
        <f>IFERROR(VLOOKUP($A323,[2]P.O.!$A:$J,9,),"")</f>
        <v>4558.33</v>
      </c>
      <c r="J323" s="159">
        <f t="shared" ref="J323" si="40">IF(I323="","",I323/$E$777)</f>
        <v>2.1449284293247463E-3</v>
      </c>
      <c r="K323" s="145">
        <f>IFERROR(VLOOKUP($A323,[2]P.O.!$A:$J,10,),"")</f>
        <v>0.25</v>
      </c>
      <c r="L323" s="265"/>
    </row>
    <row r="324" spans="1:12" s="232" customFormat="1">
      <c r="A324" s="76"/>
      <c r="B324" s="77"/>
      <c r="C324" s="77"/>
      <c r="D324" s="78"/>
      <c r="E324" s="91"/>
      <c r="F324" s="139"/>
      <c r="G324" s="140"/>
      <c r="H324" s="140"/>
      <c r="I324" s="140"/>
      <c r="J324" s="159"/>
      <c r="K324" s="141"/>
    </row>
    <row r="325" spans="1:12" s="235" customFormat="1">
      <c r="A325" s="95" t="s">
        <v>51</v>
      </c>
      <c r="B325" s="110"/>
      <c r="C325" s="110"/>
      <c r="D325" s="97" t="str">
        <f>IFERROR(VLOOKUP($A325,[2]P.O.!$A:$J,4,),"")</f>
        <v>VEGETAÇÃO</v>
      </c>
      <c r="E325" s="96"/>
      <c r="F325" s="163"/>
      <c r="G325" s="180"/>
      <c r="H325" s="180"/>
      <c r="I325" s="180"/>
      <c r="J325" s="165"/>
      <c r="K325" s="181"/>
    </row>
    <row r="326" spans="1:12" s="232" customFormat="1" ht="33">
      <c r="A326" s="76" t="s">
        <v>52</v>
      </c>
      <c r="B326" s="77" t="str">
        <f>IFERROR(VLOOKUP($A326,[2]P.O.!$A:$J,2,),"")</f>
        <v>12983/001</v>
      </c>
      <c r="C326" s="77" t="str">
        <f>IFERROR(VLOOKUP($A326,[2]P.O.!$A:$J,3,),"")</f>
        <v>SINAPI EMLURB</v>
      </c>
      <c r="D326" s="78" t="str">
        <f>IFERROR(VLOOKUP($A326,[2]P.O.!$A:$J,4,),"")</f>
        <v>TOMBAMENTO MECANICO DE ARVORES COM DIAMETRO DE 0,15 A 0,30 M, INCLUSI-   VE O DESTOCAMENTO E LIMPEZA DO LOCAL</v>
      </c>
      <c r="E326" s="91" t="str">
        <f>IFERROR(VLOOKUP($A326,[2]P.O.!$A:$J,5,),"")</f>
        <v>UN</v>
      </c>
      <c r="F326" s="139">
        <f>IFERROR(VLOOKUP($A326,[2]P.O.!$A:$J,6,),"")</f>
        <v>4</v>
      </c>
      <c r="G326" s="140">
        <f>IFERROR(VLOOKUP($A326,[2]P.O.!$A:$J,7,),"")</f>
        <v>90.33</v>
      </c>
      <c r="H326" s="158">
        <f>IFERROR(VLOOKUP($A326,[2]P.O.!$A:$J,8,),"")</f>
        <v>112.91</v>
      </c>
      <c r="I326" s="158">
        <f>IFERROR(VLOOKUP($A326,[2]P.O.!$A:$J,9,),"")</f>
        <v>451.64</v>
      </c>
      <c r="J326" s="159">
        <f t="shared" ref="J326:J337" si="41">IF(I326="","",I326/$E$777)</f>
        <v>2.1251982103538542E-4</v>
      </c>
      <c r="K326" s="145">
        <f>IFERROR(VLOOKUP($A326,[2]P.O.!$A:$J,10,),"")</f>
        <v>0.25</v>
      </c>
      <c r="L326" s="265"/>
    </row>
    <row r="327" spans="1:12" s="232" customFormat="1" ht="33">
      <c r="A327" s="76" t="s">
        <v>53</v>
      </c>
      <c r="B327" s="77" t="str">
        <f>IFERROR(VLOOKUP($A327,[2]P.O.!$A:$J,2,),"")</f>
        <v>12983/002</v>
      </c>
      <c r="C327" s="77" t="str">
        <f>IFERROR(VLOOKUP($A327,[2]P.O.!$A:$J,3,),"")</f>
        <v>SINAPI EMLURB</v>
      </c>
      <c r="D327" s="78" t="str">
        <f>IFERROR(VLOOKUP($A327,[2]P.O.!$A:$J,4,),"")</f>
        <v>TOMBAMENTO MECANICO DE ARVORES COM DIAMETRO MAIOR QUE 0,30 M, INCLUSI-   VE O DESTOCAMENTO E LIMPEZA DO LOCAL</v>
      </c>
      <c r="E327" s="91" t="str">
        <f>IFERROR(VLOOKUP($A327,[2]P.O.!$A:$J,5,),"")</f>
        <v>UN</v>
      </c>
      <c r="F327" s="139">
        <f>IFERROR(VLOOKUP($A327,[2]P.O.!$A:$J,6,),"")</f>
        <v>6</v>
      </c>
      <c r="G327" s="140">
        <f>IFERROR(VLOOKUP($A327,[2]P.O.!$A:$J,7,),"")</f>
        <v>131.63999999999999</v>
      </c>
      <c r="H327" s="158">
        <f>IFERROR(VLOOKUP($A327,[2]P.O.!$A:$J,8,),"")</f>
        <v>164.55</v>
      </c>
      <c r="I327" s="158">
        <f>IFERROR(VLOOKUP($A327,[2]P.O.!$A:$J,9,),"")</f>
        <v>987.3</v>
      </c>
      <c r="J327" s="159">
        <f t="shared" si="41"/>
        <v>4.6457536823185728E-4</v>
      </c>
      <c r="K327" s="145">
        <f>IFERROR(VLOOKUP($A327,[2]P.O.!$A:$J,10,),"")</f>
        <v>0.25</v>
      </c>
      <c r="L327" s="265"/>
    </row>
    <row r="328" spans="1:12" s="232" customFormat="1" ht="66">
      <c r="A328" s="76" t="s">
        <v>54</v>
      </c>
      <c r="B328" s="77" t="str">
        <f>IFERROR(VLOOKUP($A328,[2]P.O.!$A:$J,2,),"")</f>
        <v>COMPS15001</v>
      </c>
      <c r="C328" s="77" t="str">
        <f>IFERROR(VLOOKUP($A328,[2]P.O.!$A:$J,3,),"")</f>
        <v>COMPOSIÇÃO</v>
      </c>
      <c r="D328" s="78" t="str">
        <f>IFERROR(VLOOKUP($A328,[2]P.O.!$A:$J,4,),"")</f>
        <v>FORNECIMENTO E PLANTIO DE MUDA DE HERBACEA LÍRIO-ARANHA (NOME CIENTIFICO: HYMENOCALLIS LITTORALIS (JACQ.)), ALTURA DA MUDA H=0,50M, INCLUSIVE ABERTURA E FECHAMENTO DE CAVA 60X60X60CM E ADUBAÇÃO - APROXIMADAMENTE 2 UND/M2, COM ESPAÇAMENTO DE 0,80M ENTRE AS MUDAS</v>
      </c>
      <c r="E328" s="91" t="str">
        <f>IFERROR(VLOOKUP($A328,[2]P.O.!$A:$J,5,),"")</f>
        <v>M2</v>
      </c>
      <c r="F328" s="139">
        <f>IFERROR(VLOOKUP($A328,[2]P.O.!$A:$J,6,),"")</f>
        <v>55.95</v>
      </c>
      <c r="G328" s="140">
        <f>IFERROR(VLOOKUP($A328,[2]P.O.!$A:$J,7,),"")</f>
        <v>27.870000000000005</v>
      </c>
      <c r="H328" s="158">
        <f>IFERROR(VLOOKUP($A328,[2]P.O.!$A:$J,8,),"")</f>
        <v>34.840000000000003</v>
      </c>
      <c r="I328" s="158">
        <f>IFERROR(VLOOKUP($A328,[2]P.O.!$A:$J,9,),"")</f>
        <v>1949.3</v>
      </c>
      <c r="J328" s="159">
        <f t="shared" si="41"/>
        <v>9.1724578678654858E-4</v>
      </c>
      <c r="K328" s="145">
        <f>IFERROR(VLOOKUP($A328,[2]P.O.!$A:$J,10,),"")</f>
        <v>0.25</v>
      </c>
      <c r="L328" s="265"/>
    </row>
    <row r="329" spans="1:12" s="232" customFormat="1" ht="66">
      <c r="A329" s="76" t="s">
        <v>55</v>
      </c>
      <c r="B329" s="77" t="str">
        <f>IFERROR(VLOOKUP($A329,[2]P.O.!$A:$J,2,),"")</f>
        <v>COMPS15002</v>
      </c>
      <c r="C329" s="77" t="str">
        <f>IFERROR(VLOOKUP($A329,[2]P.O.!$A:$J,3,),"")</f>
        <v>COMPOSIÇÃO</v>
      </c>
      <c r="D329" s="78" t="str">
        <f>IFERROR(VLOOKUP($A329,[2]P.O.!$A:$J,4,),"")</f>
        <v>FORNECIMENTO E PLANTIO DE MUDA DE HERBACEA MARANTA-VARIEGADA (NOME CIENTÍFICO: CTENANTHE OPPENHEIMIANA (E. MORREN) K. SCHUM.), ALTURA DA MUDA H=0,80M, INCLUSIVE ABERTURA E FECHAMENTO DE CAVA 60X60X60CM E ADUBAÇÃO - APROXIMADAMENTE 1 UND/M2, COM ESPAÇAMENTO DE 1,20M ENTRE AS MUDAS</v>
      </c>
      <c r="E329" s="91" t="str">
        <f>IFERROR(VLOOKUP($A329,[2]P.O.!$A:$J,5,),"")</f>
        <v>M2</v>
      </c>
      <c r="F329" s="139">
        <f>IFERROR(VLOOKUP($A329,[2]P.O.!$A:$J,6,),"")</f>
        <v>14.12</v>
      </c>
      <c r="G329" s="140">
        <f>IFERROR(VLOOKUP($A329,[2]P.O.!$A:$J,7,),"")</f>
        <v>21.709999999999997</v>
      </c>
      <c r="H329" s="158">
        <f>IFERROR(VLOOKUP($A329,[2]P.O.!$A:$J,8,),"")</f>
        <v>27.14</v>
      </c>
      <c r="I329" s="158">
        <f>IFERROR(VLOOKUP($A329,[2]P.O.!$A:$J,9,),"")</f>
        <v>383.22</v>
      </c>
      <c r="J329" s="159">
        <f t="shared" si="41"/>
        <v>1.8032469625626696E-4</v>
      </c>
      <c r="K329" s="145">
        <f>IFERROR(VLOOKUP($A329,[2]P.O.!$A:$J,10,),"")</f>
        <v>0.25</v>
      </c>
      <c r="L329" s="265"/>
    </row>
    <row r="330" spans="1:12" s="232" customFormat="1" ht="66">
      <c r="A330" s="76" t="s">
        <v>56</v>
      </c>
      <c r="B330" s="77" t="str">
        <f>IFERROR(VLOOKUP($A330,[2]P.O.!$A:$J,2,),"")</f>
        <v>COMPS15003</v>
      </c>
      <c r="C330" s="77" t="str">
        <f>IFERROR(VLOOKUP($A330,[2]P.O.!$A:$J,3,),"")</f>
        <v>COMPOSIÇÃO</v>
      </c>
      <c r="D330" s="78" t="str">
        <f>IFERROR(VLOOKUP($A330,[2]P.O.!$A:$J,4,),"")</f>
        <v>FORNECIMENTO E PLANTIO DE MUDA DE HERBACEA IMBÊ (NOME CIENTÍFICO: PHILODENDRON IMBÊ (SCHOTT EX ENDL.)), ALTURA DA MUDA H=1,00M, INCLUSIVE ABERTURA E FECHAMENTO DE CAVA 80X80X80CM E ADUBAÇÃO - APROXIMADAMENTE 1 UND/M2, COM ESPAÇAMENTO DE 2,50M ENTRE AS MUDAS</v>
      </c>
      <c r="E330" s="91" t="str">
        <f>IFERROR(VLOOKUP($A330,[2]P.O.!$A:$J,5,),"")</f>
        <v>M2</v>
      </c>
      <c r="F330" s="139">
        <f>IFERROR(VLOOKUP($A330,[2]P.O.!$A:$J,6,),"")</f>
        <v>37.71</v>
      </c>
      <c r="G330" s="140">
        <f>IFERROR(VLOOKUP($A330,[2]P.O.!$A:$J,7,),"")</f>
        <v>8.59</v>
      </c>
      <c r="H330" s="158">
        <f>IFERROR(VLOOKUP($A330,[2]P.O.!$A:$J,8,),"")</f>
        <v>10.74</v>
      </c>
      <c r="I330" s="158">
        <f>IFERROR(VLOOKUP($A330,[2]P.O.!$A:$J,9,),"")</f>
        <v>405.01</v>
      </c>
      <c r="J330" s="159">
        <f t="shared" si="41"/>
        <v>1.9057801062249014E-4</v>
      </c>
      <c r="K330" s="145">
        <f>IFERROR(VLOOKUP($A330,[2]P.O.!$A:$J,10,),"")</f>
        <v>0.25</v>
      </c>
      <c r="L330" s="265"/>
    </row>
    <row r="331" spans="1:12" s="232" customFormat="1" ht="66">
      <c r="A331" s="76" t="s">
        <v>402</v>
      </c>
      <c r="B331" s="77" t="str">
        <f>IFERROR(VLOOKUP($A331,[2]P.O.!$A:$J,2,),"")</f>
        <v>COMPS15004</v>
      </c>
      <c r="C331" s="77" t="str">
        <f>IFERROR(VLOOKUP($A331,[2]P.O.!$A:$J,3,),"")</f>
        <v>COMPOSIÇÃO</v>
      </c>
      <c r="D331" s="78" t="str">
        <f>IFERROR(VLOOKUP($A331,[2]P.O.!$A:$J,4,),"")</f>
        <v>FORNECIMENTO E PLANTIO DE MUDA DE HERBACEA MARANTA-ZEBRA (NOME CIENTÍFICO: CALATHEA ZEBRINA (SIMS) LINDL.), ALTURA DA MUDA H=1,00M, INCLUSIVE ABERTURA E FECHAMENTO DE CAVA 80X80X80CM E ADUBAÇÃO - APROXIMADAMENTE 1 UND/M2, COM ESPAÇAMENTO DE 1,50M ENTRE AS MUDAS</v>
      </c>
      <c r="E331" s="91" t="str">
        <f>IFERROR(VLOOKUP($A331,[2]P.O.!$A:$J,5,),"")</f>
        <v>M2</v>
      </c>
      <c r="F331" s="139">
        <f>IFERROR(VLOOKUP($A331,[2]P.O.!$A:$J,6,),"")</f>
        <v>10.88</v>
      </c>
      <c r="G331" s="140">
        <f>IFERROR(VLOOKUP($A331,[2]P.O.!$A:$J,7,),"")</f>
        <v>18.52</v>
      </c>
      <c r="H331" s="158">
        <f>IFERROR(VLOOKUP($A331,[2]P.O.!$A:$J,8,),"")</f>
        <v>23.15</v>
      </c>
      <c r="I331" s="158">
        <f>IFERROR(VLOOKUP($A331,[2]P.O.!$A:$J,9,),"")</f>
        <v>251.87</v>
      </c>
      <c r="J331" s="159">
        <f t="shared" si="41"/>
        <v>1.1851777372283795E-4</v>
      </c>
      <c r="K331" s="145">
        <f>IFERROR(VLOOKUP($A331,[2]P.O.!$A:$J,10,),"")</f>
        <v>0.25</v>
      </c>
      <c r="L331" s="265"/>
    </row>
    <row r="332" spans="1:12" s="232" customFormat="1" ht="66">
      <c r="A332" s="76" t="s">
        <v>403</v>
      </c>
      <c r="B332" s="77" t="str">
        <f>IFERROR(VLOOKUP($A332,[2]P.O.!$A:$J,2,),"")</f>
        <v>COMPS15005</v>
      </c>
      <c r="C332" s="77" t="str">
        <f>IFERROR(VLOOKUP($A332,[2]P.O.!$A:$J,3,),"")</f>
        <v>COMPOSIÇÃO</v>
      </c>
      <c r="D332" s="78" t="str">
        <f>IFERROR(VLOOKUP($A332,[2]P.O.!$A:$J,4,),"")</f>
        <v>FORNECIMENTO E PLANTIO DE MUDA DE HERBACEA ABACAXI-VERMELHO (NOME CIENTÍFICO: ANANAS BRACTEATUS (LINDL.) SCHULT. &amp; SCHULT. F.), ALTURA DA MUDA H=0,70M, INCLUSIVE ABERTURA E FECHAMENTO DE CAVA 60X60X60CM E ADUBAÇÃO - APROXIMADAMENTE 4 UND/M2, COM ESPAÇAMENTO DE 0,50M ENTRE AS MUDAS</v>
      </c>
      <c r="E332" s="91" t="str">
        <f>IFERROR(VLOOKUP($A332,[2]P.O.!$A:$J,5,),"")</f>
        <v>M2</v>
      </c>
      <c r="F332" s="139">
        <f>IFERROR(VLOOKUP($A332,[2]P.O.!$A:$J,6,),"")</f>
        <v>35.479999999999997</v>
      </c>
      <c r="G332" s="140">
        <f>IFERROR(VLOOKUP($A332,[2]P.O.!$A:$J,7,),"")</f>
        <v>81.260000000000005</v>
      </c>
      <c r="H332" s="158">
        <f>IFERROR(VLOOKUP($A332,[2]P.O.!$A:$J,8,),"")</f>
        <v>101.58</v>
      </c>
      <c r="I332" s="158">
        <f>IFERROR(VLOOKUP($A332,[2]P.O.!$A:$J,9,),"")</f>
        <v>3604.06</v>
      </c>
      <c r="J332" s="159">
        <f t="shared" si="41"/>
        <v>1.6958953728650943E-3</v>
      </c>
      <c r="K332" s="145">
        <f>IFERROR(VLOOKUP($A332,[2]P.O.!$A:$J,10,),"")</f>
        <v>0.25</v>
      </c>
      <c r="L332" s="265"/>
    </row>
    <row r="333" spans="1:12" s="232" customFormat="1" ht="66">
      <c r="A333" s="76" t="s">
        <v>404</v>
      </c>
      <c r="B333" s="77" t="str">
        <f>IFERROR(VLOOKUP($A333,[2]P.O.!$A:$J,2,),"")</f>
        <v>COMPS15006</v>
      </c>
      <c r="C333" s="77" t="str">
        <f>IFERROR(VLOOKUP($A333,[2]P.O.!$A:$J,3,),"")</f>
        <v>COMPOSIÇÃO</v>
      </c>
      <c r="D333" s="78" t="str">
        <f>IFERROR(VLOOKUP($A333,[2]P.O.!$A:$J,4,),"")</f>
        <v>FORNECIMENTO E PLANTIO DE MUDA DE HERBACEA TAIOBA (NOME CIENTÍFICO: XANTHOSOMA ROBUSTUM (SCHOTT)), ALTURA DA MUDA H=1,20M, INCLUSIVE ABERTURA E FECHAMENTO DE CAVA 80X80X80CM E ADUBAÇÃO - APROXIMADAMENTE 1 UND/M2, COM ESPAÇAMENTO DE 1,20M ENTRE AS MUDAS</v>
      </c>
      <c r="E333" s="91" t="str">
        <f>IFERROR(VLOOKUP($A333,[2]P.O.!$A:$J,5,),"")</f>
        <v>M2</v>
      </c>
      <c r="F333" s="139">
        <f>IFERROR(VLOOKUP($A333,[2]P.O.!$A:$J,6,),"")</f>
        <v>58.68</v>
      </c>
      <c r="G333" s="140">
        <f>IFERROR(VLOOKUP($A333,[2]P.O.!$A:$J,7,),"")</f>
        <v>37.770000000000003</v>
      </c>
      <c r="H333" s="158">
        <f>IFERROR(VLOOKUP($A333,[2]P.O.!$A:$J,8,),"")</f>
        <v>47.21</v>
      </c>
      <c r="I333" s="158">
        <f>IFERROR(VLOOKUP($A333,[2]P.O.!$A:$J,9,),"")</f>
        <v>2770.28</v>
      </c>
      <c r="J333" s="159">
        <f t="shared" si="41"/>
        <v>1.3035590510537321E-3</v>
      </c>
      <c r="K333" s="145">
        <f>IFERROR(VLOOKUP($A333,[2]P.O.!$A:$J,10,),"")</f>
        <v>0.25</v>
      </c>
      <c r="L333" s="265"/>
    </row>
    <row r="334" spans="1:12" s="235" customFormat="1" ht="33">
      <c r="A334" s="76" t="s">
        <v>405</v>
      </c>
      <c r="B334" s="77" t="str">
        <f>IFERROR(VLOOKUP($A334,[2]P.O.!$A:$J,2,),"")</f>
        <v>COMPS15007</v>
      </c>
      <c r="C334" s="77" t="str">
        <f>IFERROR(VLOOKUP($A334,[2]P.O.!$A:$J,3,),"")</f>
        <v>COMPOSIÇÃO</v>
      </c>
      <c r="D334" s="78" t="str">
        <f>IFERROR(VLOOKUP($A334,[2]P.O.!$A:$J,4,),"")</f>
        <v>FORNECIMENTO E PLANTIO DE FORRAÇÃO EM MUDA DICONDRA (NOME CIENTÍFICO: DICHONDRA MICROCALYX (HALLIER F.)), ALTURA DA MUDA H=0,15M, INCLUSIVE PREPARO DE SOLO</v>
      </c>
      <c r="E334" s="91" t="str">
        <f>IFERROR(VLOOKUP($A334,[2]P.O.!$A:$J,5,),"")</f>
        <v>M2</v>
      </c>
      <c r="F334" s="139">
        <f>IFERROR(VLOOKUP($A334,[2]P.O.!$A:$J,6,),"")</f>
        <v>132.30000000000001</v>
      </c>
      <c r="G334" s="140">
        <f>IFERROR(VLOOKUP($A334,[2]P.O.!$A:$J,7,),"")</f>
        <v>81.19</v>
      </c>
      <c r="H334" s="158">
        <f>IFERROR(VLOOKUP($A334,[2]P.O.!$A:$J,8,),"")</f>
        <v>101.49</v>
      </c>
      <c r="I334" s="158">
        <f>IFERROR(VLOOKUP($A334,[2]P.O.!$A:$J,9,),"")</f>
        <v>13427.13</v>
      </c>
      <c r="J334" s="159">
        <f t="shared" si="41"/>
        <v>6.3181544252476629E-3</v>
      </c>
      <c r="K334" s="145">
        <f>IFERROR(VLOOKUP($A334,[2]P.O.!$A:$J,10,),"")</f>
        <v>0.25</v>
      </c>
      <c r="L334" s="265"/>
    </row>
    <row r="335" spans="1:12" s="232" customFormat="1" ht="49.5">
      <c r="A335" s="76" t="s">
        <v>406</v>
      </c>
      <c r="B335" s="77" t="str">
        <f>IFERROR(VLOOKUP($A335,[2]P.O.!$A:$J,2,),"")</f>
        <v>COMPS15008</v>
      </c>
      <c r="C335" s="77" t="str">
        <f>IFERROR(VLOOKUP($A335,[2]P.O.!$A:$J,3,),"")</f>
        <v>COMPOSIÇÃO</v>
      </c>
      <c r="D335" s="78" t="str">
        <f>IFERROR(VLOOKUP($A335,[2]P.O.!$A:$J,4,),"")</f>
        <v>FORNECIMENTO E PLANTIO DE MUDA DE HERBACEA BRILHANTINA (NOME CIENTÍFICO: PILEA MICROPHYLLA (L.) LIEBM), ALTURA DA MUDA H=0,10M, INCLUSIVE PREPARO DE SOLO - APROXIMADAMENTE 2 UND/M2, COM ESPAÇAMENTO DE 0,70M ENTRE AS MUDAS</v>
      </c>
      <c r="E335" s="91" t="str">
        <f>IFERROR(VLOOKUP($A335,[2]P.O.!$A:$J,5,),"")</f>
        <v>M2</v>
      </c>
      <c r="F335" s="139">
        <f>IFERROR(VLOOKUP($A335,[2]P.O.!$A:$J,6,),"")</f>
        <v>22.14</v>
      </c>
      <c r="G335" s="140">
        <f>IFERROR(VLOOKUP($A335,[2]P.O.!$A:$J,7,),"")</f>
        <v>49.42</v>
      </c>
      <c r="H335" s="158">
        <f>IFERROR(VLOOKUP($A335,[2]P.O.!$A:$J,8,),"")</f>
        <v>61.78</v>
      </c>
      <c r="I335" s="158">
        <f>IFERROR(VLOOKUP($A335,[2]P.O.!$A:$J,9,),"")</f>
        <v>1367.81</v>
      </c>
      <c r="J335" s="159">
        <f t="shared" si="41"/>
        <v>6.436248702736926E-4</v>
      </c>
      <c r="K335" s="145">
        <f>IFERROR(VLOOKUP($A335,[2]P.O.!$A:$J,10,),"")</f>
        <v>0.25</v>
      </c>
      <c r="L335" s="265"/>
    </row>
    <row r="336" spans="1:12" s="232" customFormat="1" ht="66">
      <c r="A336" s="76" t="s">
        <v>407</v>
      </c>
      <c r="B336" s="77" t="str">
        <f>IFERROR(VLOOKUP($A336,[2]P.O.!$A:$J,2,),"")</f>
        <v>COMPS15009</v>
      </c>
      <c r="C336" s="77" t="str">
        <f>IFERROR(VLOOKUP($A336,[2]P.O.!$A:$J,3,),"")</f>
        <v>COMPOSIÇÃO</v>
      </c>
      <c r="D336" s="78" t="str">
        <f>IFERROR(VLOOKUP($A336,[2]P.O.!$A:$J,4,),"")</f>
        <v>FORNECIMENTO E PLANTIO DE MUDA DE HERBACEA CAETE VERMELHO (NOME CIENTÍFICO: HELICONIA PENDULA WAWRA), ALTURA DA MUDA H=1,00M, INCLUSIVE ABERTURA E FECHAMENTO DE CAVA 80X80X80CM E ADUBAÇÃO - APROXIMADAMENTE 6 UND/M2, COM ESPAÇAMENTO DE 0,40M ENTRE AS MUDAS</v>
      </c>
      <c r="E336" s="91" t="str">
        <f>IFERROR(VLOOKUP($A336,[2]P.O.!$A:$J,5,),"")</f>
        <v>M2</v>
      </c>
      <c r="F336" s="139">
        <f>IFERROR(VLOOKUP($A336,[2]P.O.!$A:$J,6,),"")</f>
        <v>19.100000000000001</v>
      </c>
      <c r="G336" s="140">
        <f>IFERROR(VLOOKUP($A336,[2]P.O.!$A:$J,7,),"")</f>
        <v>212.4</v>
      </c>
      <c r="H336" s="158">
        <f>IFERROR(VLOOKUP($A336,[2]P.O.!$A:$J,8,),"")</f>
        <v>265.5</v>
      </c>
      <c r="I336" s="158">
        <f>IFERROR(VLOOKUP($A336,[2]P.O.!$A:$J,9,),"")</f>
        <v>5071.05</v>
      </c>
      <c r="J336" s="159">
        <f t="shared" si="41"/>
        <v>2.3861895280787603E-3</v>
      </c>
      <c r="K336" s="145">
        <f>IFERROR(VLOOKUP($A336,[2]P.O.!$A:$J,10,),"")</f>
        <v>0.25</v>
      </c>
      <c r="L336" s="265"/>
    </row>
    <row r="337" spans="1:12" s="232" customFormat="1" ht="49.5">
      <c r="A337" s="76" t="s">
        <v>408</v>
      </c>
      <c r="B337" s="77" t="str">
        <f>IFERROR(VLOOKUP($A337,[2]P.O.!$A:$J,2,),"")</f>
        <v>COMPS15010</v>
      </c>
      <c r="C337" s="77" t="str">
        <f>IFERROR(VLOOKUP($A337,[2]P.O.!$A:$J,3,),"")</f>
        <v>COMPOSIÇÃO</v>
      </c>
      <c r="D337" s="78" t="str">
        <f>IFERROR(VLOOKUP($A337,[2]P.O.!$A:$J,4,),"")</f>
        <v>FORNECIMENTO E PLANTIO DE MUDA DE HERBACEA CIPÓ-DE-SÃO-JOÃO (NOME CIENTÍFICO: PYROSTEGIA VENUSTA (KER GAWL.)), ALTURA DA MUDA H=1,00M, INCLUSIVE ABERTURA E FECHAMENTO DE CAVA E ADUBAÇÃO - 1 UND/M, COM ESPAÇAMENTO DE 1,00M ENTRE AS MUDAS</v>
      </c>
      <c r="E337" s="91" t="str">
        <f>IFERROR(VLOOKUP($A337,[2]P.O.!$A:$J,5,),"")</f>
        <v>M</v>
      </c>
      <c r="F337" s="139">
        <f>IFERROR(VLOOKUP($A337,[2]P.O.!$A:$J,6,),"")</f>
        <v>7.6</v>
      </c>
      <c r="G337" s="140">
        <f>IFERROR(VLOOKUP($A337,[2]P.O.!$A:$J,7,),"")</f>
        <v>11.790000000000001</v>
      </c>
      <c r="H337" s="158">
        <f>IFERROR(VLOOKUP($A337,[2]P.O.!$A:$J,8,),"")</f>
        <v>14.74</v>
      </c>
      <c r="I337" s="158">
        <f>IFERROR(VLOOKUP($A337,[2]P.O.!$A:$J,9,),"")</f>
        <v>112.02</v>
      </c>
      <c r="J337" s="159">
        <f t="shared" si="41"/>
        <v>5.2711164538977668E-5</v>
      </c>
      <c r="K337" s="145">
        <f>IFERROR(VLOOKUP($A337,[2]P.O.!$A:$J,10,),"")</f>
        <v>0.25</v>
      </c>
      <c r="L337" s="265"/>
    </row>
    <row r="338" spans="1:12" s="232" customFormat="1">
      <c r="A338" s="76"/>
      <c r="B338" s="77"/>
      <c r="C338" s="77"/>
      <c r="D338" s="78"/>
      <c r="E338" s="91"/>
      <c r="F338" s="139"/>
      <c r="G338" s="140"/>
      <c r="H338" s="140"/>
      <c r="I338" s="140"/>
      <c r="J338" s="159"/>
      <c r="K338" s="141"/>
    </row>
    <row r="339" spans="1:12" s="235" customFormat="1">
      <c r="A339" s="95" t="s">
        <v>57</v>
      </c>
      <c r="B339" s="110"/>
      <c r="C339" s="110"/>
      <c r="D339" s="97" t="str">
        <f>IFERROR(VLOOKUP($A339,[2]P.O.!$A:$J,4,),"")</f>
        <v>PISO</v>
      </c>
      <c r="E339" s="96"/>
      <c r="F339" s="163"/>
      <c r="G339" s="180"/>
      <c r="H339" s="180"/>
      <c r="I339" s="180"/>
      <c r="J339" s="165"/>
      <c r="K339" s="181"/>
    </row>
    <row r="340" spans="1:12" s="235" customFormat="1" ht="115.5">
      <c r="A340" s="76" t="s">
        <v>58</v>
      </c>
      <c r="B340" s="77" t="str">
        <f>IFERROR(VLOOKUP($A340,[2]P.O.!$A:$J,2,),"")</f>
        <v>COMPS12006</v>
      </c>
      <c r="C340" s="77" t="str">
        <f>IFERROR(VLOOKUP($A340,[2]P.O.!$A:$J,3,),"")</f>
        <v>COMPOSIÇÃO</v>
      </c>
      <c r="D340" s="78" t="str">
        <f>IFERROR(VLOOKUP($A340,[2]P.O.!$A:$J,4,),"")</f>
        <v>FORNECIMENTO E COLOCAÇÃO DE PEDRA NATURAL TIPO QUARTZITO TROPICAL, PRÉ-MOLDADA EM TELA PLÁSTICA (PEDRAS 4/6 X 4/6CM), MODELO QUADRADO CLÁSSICO REGULAR, MODULOS DE 50X50X40CM, FABRICANTE PASINATO OU EQUIVALENTE TÉCNICO, APLICADA SOBRE LASTRO DE SAIBRO COMPACTADO E CONTRAPISO DE CONCRETO ARMADO COM TELA SOLDADA. ASSENTAMENTO DO PISO NO CONTRAPISO COM ARGAMASSA UMEDECIDA DE CIMENTO E AREIA MÉDIA NO TRAÇO 1:3; JUNTAS DE 1CM PREENCHIDAS COM ARGAMASSA FLUIDA DE CIMENTO E AREIA MÉDIA NO TRAÇO 1:2,5.</v>
      </c>
      <c r="E340" s="91" t="str">
        <f>IFERROR(VLOOKUP($A340,[2]P.O.!$A:$J,5,),"")</f>
        <v>M2</v>
      </c>
      <c r="F340" s="139">
        <f>IFERROR(VLOOKUP($A340,[2]P.O.!$A:$J,6,),"")</f>
        <v>630.70000000000005</v>
      </c>
      <c r="G340" s="140">
        <f>IFERROR(VLOOKUP($A340,[2]P.O.!$A:$J,7,),"")</f>
        <v>240.76999999999998</v>
      </c>
      <c r="H340" s="158">
        <f>IFERROR(VLOOKUP($A340,[2]P.O.!$A:$J,8,),"")</f>
        <v>300.95999999999998</v>
      </c>
      <c r="I340" s="158">
        <f>IFERROR(VLOOKUP($A340,[2]P.O.!$A:$J,9,),"")</f>
        <v>189815.47</v>
      </c>
      <c r="J340" s="159">
        <f t="shared" ref="J340:J341" si="42">IF(I340="","",I340/$E$777)</f>
        <v>8.9317929576980717E-2</v>
      </c>
      <c r="K340" s="145">
        <f>IFERROR(VLOOKUP($A340,[2]P.O.!$A:$J,10,),"")</f>
        <v>0.25</v>
      </c>
      <c r="L340" s="265"/>
    </row>
    <row r="341" spans="1:12" s="232" customFormat="1" ht="99">
      <c r="A341" s="76" t="s">
        <v>59</v>
      </c>
      <c r="B341" s="77" t="str">
        <f>IFERROR(VLOOKUP($A341,[2]P.O.!$A:$J,2,),"")</f>
        <v>COMPS12007</v>
      </c>
      <c r="C341" s="77" t="str">
        <f>IFERROR(VLOOKUP($A341,[2]P.O.!$A:$J,3,),"")</f>
        <v>COMPOSIÇÃO</v>
      </c>
      <c r="D341" s="78" t="str">
        <f>IFERROR(VLOOKUP($A341,[2]P.O.!$A:$J,4,),"")</f>
        <v>FORNECIMENTO E COLOCAÇÃO DE PEDRA NATURAL TIPO QUARTZITO TROPICAL, EM BLOCOS MEDINDO 20 X 20CM, FABRICANTE PASINATO OU EQUIVALENTE TÉCNICO, APLICADA SOBRE LASTRO DE SAIBRO COMPACTADO E CONTRAPISO DE CONCRETO ARMADO COM TELA SOLDADA. ASSENTAMENTO DO PISO NO CONTRAPISO COM ARGAMASSA UMEDECIDA DE CIMENTO E AREIA MÉDIA NO TRAÇO 1:3; JUNTAS DE 1CM PREENCHIDAS COM ARGAMASSA FLUIDA DE CIMENTO E AREIA MÉDIA NO TRAÇO 1:2,5.</v>
      </c>
      <c r="E341" s="91" t="str">
        <f>IFERROR(VLOOKUP($A341,[2]P.O.!$A:$J,5,),"")</f>
        <v>M2</v>
      </c>
      <c r="F341" s="139">
        <f>IFERROR(VLOOKUP($A341,[2]P.O.!$A:$J,6,),"")</f>
        <v>33.78</v>
      </c>
      <c r="G341" s="140">
        <f>IFERROR(VLOOKUP($A341,[2]P.O.!$A:$J,7,),"")</f>
        <v>235.11999999999995</v>
      </c>
      <c r="H341" s="158">
        <f>IFERROR(VLOOKUP($A341,[2]P.O.!$A:$J,8,),"")</f>
        <v>293.89999999999998</v>
      </c>
      <c r="I341" s="158">
        <f>IFERROR(VLOOKUP($A341,[2]P.O.!$A:$J,9,),"")</f>
        <v>9927.94</v>
      </c>
      <c r="J341" s="159">
        <f t="shared" si="42"/>
        <v>4.6716057746214786E-3</v>
      </c>
      <c r="K341" s="145">
        <f>IFERROR(VLOOKUP($A341,[2]P.O.!$A:$J,10,),"")</f>
        <v>0.25</v>
      </c>
      <c r="L341" s="265"/>
    </row>
    <row r="342" spans="1:12" s="232" customFormat="1">
      <c r="A342" s="76"/>
      <c r="B342" s="77"/>
      <c r="C342" s="77"/>
      <c r="D342" s="78"/>
      <c r="E342" s="91"/>
      <c r="F342" s="139"/>
      <c r="G342" s="140"/>
      <c r="H342" s="140"/>
      <c r="I342" s="140"/>
      <c r="J342" s="159"/>
      <c r="K342" s="141"/>
    </row>
    <row r="343" spans="1:12" s="235" customFormat="1">
      <c r="A343" s="95" t="s">
        <v>60</v>
      </c>
      <c r="B343" s="110"/>
      <c r="C343" s="110"/>
      <c r="D343" s="97" t="str">
        <f>IFERROR(VLOOKUP($A343,[2]P.O.!$A:$J,4,),"")</f>
        <v>MOBILIÁRIO</v>
      </c>
      <c r="E343" s="96"/>
      <c r="F343" s="163"/>
      <c r="G343" s="180"/>
      <c r="H343" s="180"/>
      <c r="I343" s="180"/>
      <c r="J343" s="165"/>
      <c r="K343" s="181"/>
    </row>
    <row r="344" spans="1:12" s="232" customFormat="1" ht="49.5">
      <c r="A344" s="76" t="s">
        <v>61</v>
      </c>
      <c r="B344" s="77" t="str">
        <f>IFERROR(VLOOKUP($A344,[2]P.O.!$A:$J,2,),"")</f>
        <v>COTIS12006</v>
      </c>
      <c r="C344" s="77" t="str">
        <f>IFERROR(VLOOKUP($A344,[2]P.O.!$A:$J,3,),"")</f>
        <v>COTAÇÃO</v>
      </c>
      <c r="D344" s="78" t="str">
        <f>IFERROR(VLOOKUP($A344,[2]P.O.!$A:$J,4,),"")</f>
        <v>FORNECIMENTO DE BANCO VITÓRIA, COM ESTRUTURA EM TUBO "OBLONGO". ASSENTO E ENCOSTO EM MADEIRA DE LEI TRATADA E ENVERNIZADA. C= 1.70M. REF. BC057 DO FABRICANTE GOLONI OU EQUIVALENTE TÉCNICO</v>
      </c>
      <c r="E344" s="91" t="str">
        <f>IFERROR(VLOOKUP($A344,[2]P.O.!$A:$J,5,),"")</f>
        <v>UN</v>
      </c>
      <c r="F344" s="139">
        <f>IFERROR(VLOOKUP($A344,[2]P.O.!$A:$J,6,),"")</f>
        <v>11</v>
      </c>
      <c r="G344" s="140">
        <f>IFERROR(VLOOKUP($A344,[2]P.O.!$A:$J,7,),"")</f>
        <v>1552.0206594997508</v>
      </c>
      <c r="H344" s="158">
        <f>IFERROR(VLOOKUP($A344,[2]P.O.!$A:$J,8,),"")</f>
        <v>1812.76</v>
      </c>
      <c r="I344" s="158">
        <f>IFERROR(VLOOKUP($A344,[2]P.O.!$A:$J,9,),"")</f>
        <v>19940.36</v>
      </c>
      <c r="J344" s="159">
        <f t="shared" ref="J344" si="43">IF(I344="","",I344/$E$777)</f>
        <v>9.382963729034537E-3</v>
      </c>
      <c r="K344" s="145">
        <f>IFERROR(VLOOKUP($A344,[2]P.O.!$A:$J,10,),"")</f>
        <v>0.16800000000000001</v>
      </c>
      <c r="L344" s="265"/>
    </row>
    <row r="345" spans="1:12" s="232" customFormat="1">
      <c r="A345" s="76"/>
      <c r="B345" s="77"/>
      <c r="C345" s="77"/>
      <c r="D345" s="78"/>
      <c r="E345" s="91"/>
      <c r="F345" s="139"/>
      <c r="G345" s="140"/>
      <c r="H345" s="140"/>
      <c r="I345" s="140"/>
      <c r="J345" s="159"/>
      <c r="K345" s="141"/>
    </row>
    <row r="346" spans="1:12" s="235" customFormat="1">
      <c r="A346" s="95" t="s">
        <v>644</v>
      </c>
      <c r="B346" s="110"/>
      <c r="C346" s="110"/>
      <c r="D346" s="97" t="str">
        <f>IFERROR(VLOOKUP($A346,[2]P.O.!$A:$J,4,),"")</f>
        <v>OUTROS ITENS</v>
      </c>
      <c r="E346" s="96"/>
      <c r="F346" s="163"/>
      <c r="G346" s="180"/>
      <c r="H346" s="180"/>
      <c r="I346" s="180"/>
      <c r="J346" s="165"/>
      <c r="K346" s="181"/>
    </row>
    <row r="347" spans="1:12" s="232" customFormat="1">
      <c r="A347" s="76" t="s">
        <v>645</v>
      </c>
      <c r="B347" s="77" t="str">
        <f>IFERROR(VLOOKUP($A347,[2]P.O.!$A:$J,2,),"")</f>
        <v>COMPS12003</v>
      </c>
      <c r="C347" s="77" t="str">
        <f>IFERROR(VLOOKUP($A347,[2]P.O.!$A:$J,3,),"")</f>
        <v>COMPOSIÇÃO</v>
      </c>
      <c r="D347" s="78" t="str">
        <f>IFERROR(VLOOKUP($A347,[2]P.O.!$A:$J,4,),"")</f>
        <v>PONTOS DE ÁGUA PARA MANGUEIRA DE 15M, INCLUSIVE TORNEIRA PARA JARDIM</v>
      </c>
      <c r="E347" s="91" t="str">
        <f>IFERROR(VLOOKUP($A347,[2]P.O.!$A:$J,5,),"")</f>
        <v>PTO</v>
      </c>
      <c r="F347" s="139">
        <f>IFERROR(VLOOKUP($A347,[2]P.O.!$A:$J,6,),"")</f>
        <v>3</v>
      </c>
      <c r="G347" s="140">
        <f>IFERROR(VLOOKUP($A347,[2]P.O.!$A:$J,7,),"")</f>
        <v>102.35</v>
      </c>
      <c r="H347" s="158">
        <f>IFERROR(VLOOKUP($A347,[2]P.O.!$A:$J,8,),"")</f>
        <v>127.94</v>
      </c>
      <c r="I347" s="158">
        <f>IFERROR(VLOOKUP($A347,[2]P.O.!$A:$J,9,),"")</f>
        <v>383.82</v>
      </c>
      <c r="J347" s="159">
        <f t="shared" ref="J347:J353" si="44">IF(I347="","",I347/$E$777)</f>
        <v>1.8060702707865033E-4</v>
      </c>
      <c r="K347" s="145">
        <f>IFERROR(VLOOKUP($A347,[2]P.O.!$A:$J,10,),"")</f>
        <v>0.25</v>
      </c>
      <c r="L347" s="265"/>
    </row>
    <row r="348" spans="1:12" s="232" customFormat="1">
      <c r="A348" s="76" t="s">
        <v>646</v>
      </c>
      <c r="B348" s="77" t="str">
        <f>IFERROR(VLOOKUP($A348,[2]P.O.!$A:$J,2,),"")</f>
        <v>COMPS12004</v>
      </c>
      <c r="C348" s="77" t="str">
        <f>IFERROR(VLOOKUP($A348,[2]P.O.!$A:$J,3,),"")</f>
        <v>COMPOSIÇÃO</v>
      </c>
      <c r="D348" s="78" t="str">
        <f>IFERROR(VLOOKUP($A348,[2]P.O.!$A:$J,4,),"")</f>
        <v>EXECUÇÃO DE ALEGRETE EM CONCRETO H=20CM E ESPESSURA DE 12CM</v>
      </c>
      <c r="E348" s="91" t="str">
        <f>IFERROR(VLOOKUP($A348,[2]P.O.!$A:$J,5,),"")</f>
        <v>M</v>
      </c>
      <c r="F348" s="139">
        <f>IFERROR(VLOOKUP($A348,[2]P.O.!$A:$J,6,),"")</f>
        <v>1</v>
      </c>
      <c r="G348" s="140">
        <f>IFERROR(VLOOKUP($A348,[2]P.O.!$A:$J,7,),"")</f>
        <v>84.22999999999999</v>
      </c>
      <c r="H348" s="158">
        <f>IFERROR(VLOOKUP($A348,[2]P.O.!$A:$J,8,),"")</f>
        <v>105.29</v>
      </c>
      <c r="I348" s="158">
        <f>IFERROR(VLOOKUP($A348,[2]P.O.!$A:$J,9,),"")</f>
        <v>105.29</v>
      </c>
      <c r="J348" s="159">
        <f t="shared" si="44"/>
        <v>4.9544353814577393E-5</v>
      </c>
      <c r="K348" s="145">
        <f>IFERROR(VLOOKUP($A348,[2]P.O.!$A:$J,10,),"")</f>
        <v>0.25</v>
      </c>
      <c r="L348" s="265"/>
    </row>
    <row r="349" spans="1:12" s="232" customFormat="1" ht="33">
      <c r="A349" s="76" t="s">
        <v>647</v>
      </c>
      <c r="B349" s="77" t="str">
        <f>IFERROR(VLOOKUP($A349,[2]P.O.!$A:$J,2,),"")</f>
        <v>COMPS15011</v>
      </c>
      <c r="C349" s="77" t="str">
        <f>IFERROR(VLOOKUP($A349,[2]P.O.!$A:$J,3,),"")</f>
        <v>COMPOSIÇÃO</v>
      </c>
      <c r="D349" s="78" t="str">
        <f>IFERROR(VLOOKUP($A349,[2]P.O.!$A:$J,4,),"")</f>
        <v>FORNECIMENTO E COLOCAÇÃO DE SEPARADOR DE CANTEIRO FLEXÍVEL EM PVC, H=12CM, COM BORDA PASSANTE NA COR VERDE</v>
      </c>
      <c r="E349" s="91" t="str">
        <f>IFERROR(VLOOKUP($A349,[2]P.O.!$A:$J,5,),"")</f>
        <v>M</v>
      </c>
      <c r="F349" s="139">
        <f>IFERROR(VLOOKUP($A349,[2]P.O.!$A:$J,6,),"")</f>
        <v>66.97</v>
      </c>
      <c r="G349" s="140">
        <f>IFERROR(VLOOKUP($A349,[2]P.O.!$A:$J,7,),"")</f>
        <v>10.64</v>
      </c>
      <c r="H349" s="158">
        <f>IFERROR(VLOOKUP($A349,[2]P.O.!$A:$J,8,),"")</f>
        <v>13.3</v>
      </c>
      <c r="I349" s="158">
        <f>IFERROR(VLOOKUP($A349,[2]P.O.!$A:$J,9,),"")</f>
        <v>890.7</v>
      </c>
      <c r="J349" s="159">
        <f t="shared" si="44"/>
        <v>4.1912010582813259E-4</v>
      </c>
      <c r="K349" s="145">
        <f>IFERROR(VLOOKUP($A349,[2]P.O.!$A:$J,10,),"")</f>
        <v>0.25</v>
      </c>
      <c r="L349" s="265"/>
    </row>
    <row r="350" spans="1:12" s="232" customFormat="1">
      <c r="A350" s="76" t="s">
        <v>648</v>
      </c>
      <c r="B350" s="77" t="str">
        <f>IFERROR(VLOOKUP($A350,[2]P.O.!$A:$J,2,),"")</f>
        <v>74223/002</v>
      </c>
      <c r="C350" s="77" t="str">
        <f>IFERROR(VLOOKUP($A350,[2]P.O.!$A:$J,3,),"")</f>
        <v>SINAPI SERVIÇO</v>
      </c>
      <c r="D350" s="78" t="str">
        <f>IFERROR(VLOOKUP($A350,[2]P.O.!$A:$J,4,),"")</f>
        <v xml:space="preserve">MEIO-FIO EM PEDRA GRANITICA, REJUNTADO C/ARGAMASSA CIMENTO E AREIA 1:3   </v>
      </c>
      <c r="E350" s="91" t="str">
        <f>IFERROR(VLOOKUP($A350,[2]P.O.!$A:$J,5,),"")</f>
        <v>M</v>
      </c>
      <c r="F350" s="139">
        <f>IFERROR(VLOOKUP($A350,[2]P.O.!$A:$J,6,),"")</f>
        <v>42.92</v>
      </c>
      <c r="G350" s="140">
        <f>IFERROR(VLOOKUP($A350,[2]P.O.!$A:$J,7,),"")</f>
        <v>24.87</v>
      </c>
      <c r="H350" s="158">
        <f>IFERROR(VLOOKUP($A350,[2]P.O.!$A:$J,8,),"")</f>
        <v>31.09</v>
      </c>
      <c r="I350" s="158">
        <f>IFERROR(VLOOKUP($A350,[2]P.O.!$A:$J,9,),"")</f>
        <v>1334.38</v>
      </c>
      <c r="J350" s="159">
        <f t="shared" si="44"/>
        <v>6.2789433795323185E-4</v>
      </c>
      <c r="K350" s="145">
        <f>IFERROR(VLOOKUP($A350,[2]P.O.!$A:$J,10,),"")</f>
        <v>0.25</v>
      </c>
      <c r="L350" s="265"/>
    </row>
    <row r="351" spans="1:12" s="232" customFormat="1" ht="33">
      <c r="A351" s="76" t="s">
        <v>649</v>
      </c>
      <c r="B351" s="77" t="str">
        <f>IFERROR(VLOOKUP($A351,[2]P.O.!$A:$J,2,),"")</f>
        <v>COMPS15012</v>
      </c>
      <c r="C351" s="77" t="str">
        <f>IFERROR(VLOOKUP($A351,[2]P.O.!$A:$J,3,),"")</f>
        <v>COMPOSIÇÃO</v>
      </c>
      <c r="D351" s="78" t="str">
        <f>IFERROR(VLOOKUP($A351,[2]P.O.!$A:$J,4,),"")</f>
        <v>FORNECIMENTO E COLOCAÇÃO DE ARGILA EXPANDIDA COM GRANULOMETRIA DE 22/32MM, REF. 3222, FABRICANTE CINEXPAN OU EQUIVALENTE TECNICO - ESPESSURA DA CAMADA 7CM</v>
      </c>
      <c r="E351" s="91" t="str">
        <f>IFERROR(VLOOKUP($A351,[2]P.O.!$A:$J,5,),"")</f>
        <v>M3</v>
      </c>
      <c r="F351" s="139">
        <f>IFERROR(VLOOKUP($A351,[2]P.O.!$A:$J,6,),"")</f>
        <v>6.17</v>
      </c>
      <c r="G351" s="140">
        <f>IFERROR(VLOOKUP($A351,[2]P.O.!$A:$J,7,),"")</f>
        <v>1170.1400000000001</v>
      </c>
      <c r="H351" s="158">
        <f>IFERROR(VLOOKUP($A351,[2]P.O.!$A:$J,8,),"")</f>
        <v>1462.68</v>
      </c>
      <c r="I351" s="158">
        <f>IFERROR(VLOOKUP($A351,[2]P.O.!$A:$J,9,),"")</f>
        <v>9024.74</v>
      </c>
      <c r="J351" s="159">
        <f t="shared" si="44"/>
        <v>4.2466037766603583E-3</v>
      </c>
      <c r="K351" s="145">
        <f>IFERROR(VLOOKUP($A351,[2]P.O.!$A:$J,10,),"")</f>
        <v>0.25</v>
      </c>
      <c r="L351" s="265"/>
    </row>
    <row r="352" spans="1:12" s="232" customFormat="1" ht="33">
      <c r="A352" s="76" t="s">
        <v>650</v>
      </c>
      <c r="B352" s="77" t="str">
        <f>IFERROR(VLOOKUP($A352,[2]P.O.!$A:$J,2,),"")</f>
        <v>COTSV15001</v>
      </c>
      <c r="C352" s="77" t="str">
        <f>IFERROR(VLOOKUP($A352,[2]P.O.!$A:$J,3,),"")</f>
        <v>COTAÇÃO</v>
      </c>
      <c r="D352" s="78" t="str">
        <f>IFERROR(VLOOKUP($A352,[2]P.O.!$A:$J,4,),"")</f>
        <v>FORNECIMENTO E MONTAGEM DE GRADIL DE APOIO PARA TREPADEIRA EM TELA METÁLICA DE ARAME GALVANIZADO 60 X 60MM E CORDALHA Ø 4MM EM MÓDULOS DE 1,28 X 1,80M</v>
      </c>
      <c r="E352" s="91" t="str">
        <f>IFERROR(VLOOKUP($A352,[2]P.O.!$A:$J,5,),"")</f>
        <v>UND</v>
      </c>
      <c r="F352" s="139">
        <f>IFERROR(VLOOKUP($A352,[2]P.O.!$A:$J,6,),"")</f>
        <v>12</v>
      </c>
      <c r="G352" s="140">
        <f>IFERROR(VLOOKUP($A352,[2]P.O.!$A:$J,7,),"")</f>
        <v>90.182264002060748</v>
      </c>
      <c r="H352" s="158">
        <f>IFERROR(VLOOKUP($A352,[2]P.O.!$A:$J,8,),"")</f>
        <v>105.33</v>
      </c>
      <c r="I352" s="158">
        <f>IFERROR(VLOOKUP($A352,[2]P.O.!$A:$J,9,),"")</f>
        <v>1263.96</v>
      </c>
      <c r="J352" s="159">
        <f t="shared" si="44"/>
        <v>5.9475811043283543E-4</v>
      </c>
      <c r="K352" s="145">
        <f>IFERROR(VLOOKUP($A352,[2]P.O.!$A:$J,10,),"")</f>
        <v>0.16800000000000001</v>
      </c>
      <c r="L352" s="265"/>
    </row>
    <row r="353" spans="1:12" s="235" customFormat="1" ht="33">
      <c r="A353" s="76" t="s">
        <v>651</v>
      </c>
      <c r="B353" s="77" t="str">
        <f>IFERROR(VLOOKUP($A353,[2]P.O.!$A:$J,2,),"")</f>
        <v>COMPS15013</v>
      </c>
      <c r="C353" s="77" t="str">
        <f>IFERROR(VLOOKUP($A353,[2]P.O.!$A:$J,3,),"")</f>
        <v>COMPOSIÇÃO</v>
      </c>
      <c r="D353" s="78" t="str">
        <f>IFERROR(VLOOKUP($A353,[2]P.O.!$A:$J,4,),"")</f>
        <v>PREPARO DE SOLO PARA JARDIM COM MISTURA DE 1/3 DE HÚMUS DE MINHOCA, 1/3 DE TERRA VEGETAL E 1/3 DE ARGILA, ESPESSURA DA CAMADA 5CM</v>
      </c>
      <c r="E353" s="91" t="str">
        <f>IFERROR(VLOOKUP($A353,[2]P.O.!$A:$J,5,),"")</f>
        <v>M2</v>
      </c>
      <c r="F353" s="139">
        <f>IFERROR(VLOOKUP($A353,[2]P.O.!$A:$J,6,),"")</f>
        <v>366.97</v>
      </c>
      <c r="G353" s="140">
        <f>IFERROR(VLOOKUP($A353,[2]P.O.!$A:$J,7,),"")</f>
        <v>10.27</v>
      </c>
      <c r="H353" s="158">
        <f>IFERROR(VLOOKUP($A353,[2]P.O.!$A:$J,8,),"")</f>
        <v>12.84</v>
      </c>
      <c r="I353" s="158">
        <f>IFERROR(VLOOKUP($A353,[2]P.O.!$A:$J,9,),"")</f>
        <v>4711.8900000000003</v>
      </c>
      <c r="J353" s="159">
        <f t="shared" si="44"/>
        <v>2.2171862978000671E-3</v>
      </c>
      <c r="K353" s="145">
        <f>IFERROR(VLOOKUP($A353,[2]P.O.!$A:$J,10,),"")</f>
        <v>0.25</v>
      </c>
      <c r="L353" s="265"/>
    </row>
    <row r="354" spans="1:12" s="232" customFormat="1">
      <c r="A354" s="76"/>
      <c r="B354" s="77"/>
      <c r="C354" s="77"/>
      <c r="D354" s="78"/>
      <c r="E354" s="91"/>
      <c r="F354" s="139"/>
      <c r="G354" s="140"/>
      <c r="H354" s="140"/>
      <c r="I354" s="140"/>
      <c r="J354" s="159"/>
      <c r="K354" s="141"/>
    </row>
    <row r="355" spans="1:12" s="232" customFormat="1">
      <c r="A355" s="76"/>
      <c r="B355" s="77"/>
      <c r="C355" s="77"/>
      <c r="D355" s="78"/>
      <c r="E355" s="91"/>
      <c r="F355" s="139"/>
      <c r="G355" s="140"/>
      <c r="H355" s="140"/>
      <c r="I355" s="140"/>
      <c r="J355" s="159"/>
      <c r="K355" s="141"/>
    </row>
    <row r="356" spans="1:12" s="228" customFormat="1">
      <c r="A356" s="5" t="s">
        <v>62</v>
      </c>
      <c r="B356" s="24"/>
      <c r="C356" s="24"/>
      <c r="D356" s="31" t="s">
        <v>4</v>
      </c>
      <c r="E356" s="127"/>
      <c r="F356" s="128"/>
      <c r="G356" s="129"/>
      <c r="H356" s="129"/>
      <c r="I356" s="129">
        <f>I358+I363+I373+I383+I393+I406+I411</f>
        <v>251338</v>
      </c>
      <c r="J356" s="227">
        <f>IF(I356="","",I356/$E$777)</f>
        <v>0.11826744039365801</v>
      </c>
      <c r="K356" s="130"/>
    </row>
    <row r="357" spans="1:12" s="228" customFormat="1">
      <c r="A357" s="73"/>
      <c r="B357" s="74"/>
      <c r="C357" s="74"/>
      <c r="D357" s="75"/>
      <c r="E357" s="131"/>
      <c r="F357" s="132"/>
      <c r="G357" s="133"/>
      <c r="H357" s="133"/>
      <c r="I357" s="133"/>
      <c r="J357" s="229"/>
      <c r="K357" s="134"/>
    </row>
    <row r="358" spans="1:12" s="231" customFormat="1">
      <c r="A358" s="6" t="s">
        <v>63</v>
      </c>
      <c r="B358" s="25"/>
      <c r="C358" s="25"/>
      <c r="D358" s="32" t="str">
        <f>IFERROR(VLOOKUP($A358,[3]P.O.!$A:$J,4,),"")</f>
        <v>SERVIÇOS DIVERSOS</v>
      </c>
      <c r="E358" s="135"/>
      <c r="F358" s="136"/>
      <c r="G358" s="137"/>
      <c r="H358" s="137"/>
      <c r="I358" s="137">
        <f>SUM(I359:I362)</f>
        <v>11377.97</v>
      </c>
      <c r="J358" s="230">
        <f>IF(I358="","",I358/$E$777)</f>
        <v>5.3539193785891066E-3</v>
      </c>
      <c r="K358" s="138"/>
    </row>
    <row r="359" spans="1:12" s="232" customFormat="1">
      <c r="A359" s="76"/>
      <c r="B359" s="77"/>
      <c r="C359" s="77"/>
      <c r="D359" s="78"/>
      <c r="E359" s="91"/>
      <c r="F359" s="139"/>
      <c r="G359" s="140"/>
      <c r="H359" s="140"/>
      <c r="I359" s="140"/>
      <c r="J359" s="159"/>
      <c r="K359" s="141"/>
    </row>
    <row r="360" spans="1:12" s="232" customFormat="1">
      <c r="A360" s="76" t="s">
        <v>76</v>
      </c>
      <c r="B360" s="77">
        <f>IFERROR(VLOOKUP($A360,[3]P.O.!$A:$J,2,),"")</f>
        <v>89263</v>
      </c>
      <c r="C360" s="77" t="str">
        <f>IFERROR(VLOOKUP($A360,[3]P.O.!$A:$J,3,),"")</f>
        <v>SINAPI SERVIÇO</v>
      </c>
      <c r="D360" s="78" t="str">
        <f>IFERROR(VLOOKUP($A360,[3]P.O.!$A:$J,4,),"")</f>
        <v>DEMOLICAO DE ESTRUTURA METALICA SEM REMOCAO</v>
      </c>
      <c r="E360" s="91" t="str">
        <f>IFERROR(VLOOKUP($A360,[3]P.O.!$A:$J,5,),"")</f>
        <v>M2</v>
      </c>
      <c r="F360" s="139">
        <f>IFERROR(VLOOKUP($A360,[3]P.O.!$A:$J,6,),"")</f>
        <v>360.96</v>
      </c>
      <c r="G360" s="140">
        <f>IFERROR(VLOOKUP($A360,[3]P.O.!$A:$J,7,),"")</f>
        <v>22.84</v>
      </c>
      <c r="H360" s="140">
        <f>IFERROR(VLOOKUP($A360,[3]P.O.!$A:$J,8,),"")</f>
        <v>28.55</v>
      </c>
      <c r="I360" s="140">
        <f>IFERROR(VLOOKUP($A360,[3]P.O.!$A:$J,9,),"")</f>
        <v>10305.41</v>
      </c>
      <c r="J360" s="159">
        <f>IF(I360="","",I360/$E$777)</f>
        <v>4.849224800496571E-3</v>
      </c>
      <c r="K360" s="145">
        <f>IFERROR(VLOOKUP($A360,[3]P.O.!$A:$J,10,),"")</f>
        <v>0.25</v>
      </c>
      <c r="L360" s="265"/>
    </row>
    <row r="361" spans="1:12" s="232" customFormat="1" ht="49.5">
      <c r="A361" s="76" t="s">
        <v>77</v>
      </c>
      <c r="B361" s="77" t="str">
        <f>IFERROR(VLOOKUP($A361,[3]P.O.!$A:$J,2,),"")</f>
        <v>COMPS21006</v>
      </c>
      <c r="C361" s="77" t="str">
        <f>IFERROR(VLOOKUP($A361,[3]P.O.!$A:$J,3,),"")</f>
        <v>COMPOSIÇÃO</v>
      </c>
      <c r="D361" s="78" t="str">
        <f>IFERROR(VLOOKUP($A361,[3]P.O.!$A:$J,4,),"")</f>
        <v>CORREÇÃO COM REFORÇO DE FISSURA CONFORME PROJETO INCLUINDO DEMOLIÇÃO DE CAPEAMENTO DE PISO, APLICAÇÃO DE ADESIVO SIKADUR 32 OU EQUIVALENTE TECNICO, TELA DE ESTUQUE, GROUT E ARMADURA DE REFORÇO</v>
      </c>
      <c r="E361" s="91" t="str">
        <f>IFERROR(VLOOKUP($A361,[3]P.O.!$A:$J,5,),"")</f>
        <v>M2</v>
      </c>
      <c r="F361" s="139">
        <f>IFERROR(VLOOKUP($A361,[3]P.O.!$A:$J,6,),"")</f>
        <v>6</v>
      </c>
      <c r="G361" s="140">
        <f>IFERROR(VLOOKUP($A361,[3]P.O.!$A:$J,7,),"")</f>
        <v>143.01</v>
      </c>
      <c r="H361" s="140">
        <f>IFERROR(VLOOKUP($A361,[3]P.O.!$A:$J,8,),"")</f>
        <v>178.76</v>
      </c>
      <c r="I361" s="140">
        <f>IFERROR(VLOOKUP($A361,[3]P.O.!$A:$J,9,),"")</f>
        <v>1072.56</v>
      </c>
      <c r="J361" s="159">
        <f t="shared" ref="J361" si="45">IF(I361="","",I361/$E$777)</f>
        <v>5.0469457809253606E-4</v>
      </c>
      <c r="K361" s="145">
        <f>IFERROR(VLOOKUP($A361,[3]P.O.!$A:$J,10,),"")</f>
        <v>0.25</v>
      </c>
      <c r="L361" s="265"/>
    </row>
    <row r="362" spans="1:12" s="232" customFormat="1">
      <c r="A362" s="76"/>
      <c r="B362" s="77"/>
      <c r="C362" s="77"/>
      <c r="D362" s="78"/>
      <c r="E362" s="91"/>
      <c r="F362" s="139"/>
      <c r="G362" s="140"/>
      <c r="H362" s="140"/>
      <c r="I362" s="140"/>
      <c r="J362" s="159"/>
      <c r="K362" s="141"/>
    </row>
    <row r="363" spans="1:12" s="231" customFormat="1">
      <c r="A363" s="6" t="s">
        <v>64</v>
      </c>
      <c r="B363" s="25"/>
      <c r="C363" s="25"/>
      <c r="D363" s="32" t="str">
        <f>IFERROR(VLOOKUP($A363,[3]P.O.!$A:$J,4,),"")</f>
        <v>INFRA ESTRUTURA</v>
      </c>
      <c r="E363" s="135"/>
      <c r="F363" s="136"/>
      <c r="G363" s="137"/>
      <c r="H363" s="137"/>
      <c r="I363" s="137">
        <f>SUM(I364:I372)</f>
        <v>33860.480000000003</v>
      </c>
      <c r="J363" s="230">
        <f>IF(I363="","",I363/$E$777)</f>
        <v>1.5933095274493509E-2</v>
      </c>
      <c r="K363" s="138"/>
    </row>
    <row r="364" spans="1:12" s="232" customFormat="1">
      <c r="A364" s="76"/>
      <c r="B364" s="77"/>
      <c r="C364" s="77"/>
      <c r="D364" s="78"/>
      <c r="E364" s="91"/>
      <c r="F364" s="139"/>
      <c r="G364" s="140"/>
      <c r="H364" s="140"/>
      <c r="I364" s="140"/>
      <c r="J364" s="159"/>
      <c r="K364" s="141"/>
    </row>
    <row r="365" spans="1:12" s="232" customFormat="1" ht="33">
      <c r="A365" s="76" t="s">
        <v>65</v>
      </c>
      <c r="B365" s="77" t="str">
        <f>IFERROR(VLOOKUP($A365,[3]P.O.!$A:$J,2,),"")</f>
        <v>73965/010</v>
      </c>
      <c r="C365" s="77" t="str">
        <f>IFERROR(VLOOKUP($A365,[3]P.O.!$A:$J,3,),"")</f>
        <v>SINAPI SERVIÇO</v>
      </c>
      <c r="D365" s="78" t="str">
        <f>IFERROR(VLOOKUP($A365,[3]P.O.!$A:$J,4,),"")</f>
        <v>ESCAVACAO MANUAL DE VALA EM   MATERIAL DE 1A CATEGORIA ATE 1,5M EXCLUIN   DO ESGOTAMENTO / ESCORAMENTO</v>
      </c>
      <c r="E365" s="91" t="str">
        <f>IFERROR(VLOOKUP($A365,[3]P.O.!$A:$J,5,),"")</f>
        <v>M3</v>
      </c>
      <c r="F365" s="139">
        <f>IFERROR(VLOOKUP($A365,[3]P.O.!$A:$J,6,),"")</f>
        <v>78.705799999999982</v>
      </c>
      <c r="G365" s="140">
        <f>IFERROR(VLOOKUP($A365,[3]P.O.!$A:$J,7,),"")</f>
        <v>42.92</v>
      </c>
      <c r="H365" s="140">
        <f>IFERROR(VLOOKUP($A365,[3]P.O.!$A:$J,8,),"")</f>
        <v>53.65</v>
      </c>
      <c r="I365" s="140">
        <f>IFERROR(VLOOKUP($A365,[3]P.O.!$A:$J,9,),"")</f>
        <v>4222.57</v>
      </c>
      <c r="J365" s="159">
        <f t="shared" ref="J365:J371" si="46">IF(I365="","",I365/$E$777)</f>
        <v>1.986936101119005E-3</v>
      </c>
      <c r="K365" s="145">
        <f>IFERROR(VLOOKUP($A365,[3]P.O.!$A:$J,10,),"")</f>
        <v>0.25</v>
      </c>
      <c r="L365" s="265"/>
    </row>
    <row r="366" spans="1:12" s="232" customFormat="1">
      <c r="A366" s="76" t="s">
        <v>66</v>
      </c>
      <c r="B366" s="77" t="str">
        <f>IFERROR(VLOOKUP($A366,[3]P.O.!$A:$J,2,),"")</f>
        <v>73964/006</v>
      </c>
      <c r="C366" s="77" t="str">
        <f>IFERROR(VLOOKUP($A366,[3]P.O.!$A:$J,3,),"")</f>
        <v>SINAPI SERVIÇO</v>
      </c>
      <c r="D366" s="78" t="str">
        <f>IFERROR(VLOOKUP($A366,[3]P.O.!$A:$J,4,),"")</f>
        <v>REATERRO DE VALA COM COMPACTAÇÃO MANUAL</v>
      </c>
      <c r="E366" s="91" t="str">
        <f>IFERROR(VLOOKUP($A366,[3]P.O.!$A:$J,5,),"")</f>
        <v>M3</v>
      </c>
      <c r="F366" s="139">
        <f>IFERROR(VLOOKUP($A366,[3]P.O.!$A:$J,6,),"")</f>
        <v>50.591224999999987</v>
      </c>
      <c r="G366" s="140">
        <f>IFERROR(VLOOKUP($A366,[3]P.O.!$A:$J,7,),"")</f>
        <v>36.79</v>
      </c>
      <c r="H366" s="140">
        <f>IFERROR(VLOOKUP($A366,[3]P.O.!$A:$J,8,),"")</f>
        <v>45.99</v>
      </c>
      <c r="I366" s="140">
        <f>IFERROR(VLOOKUP($A366,[3]P.O.!$A:$J,9,),"")</f>
        <v>2326.69</v>
      </c>
      <c r="J366" s="159">
        <f t="shared" si="46"/>
        <v>1.0948271685519903E-3</v>
      </c>
      <c r="K366" s="145">
        <f>IFERROR(VLOOKUP($A366,[3]P.O.!$A:$J,10,),"")</f>
        <v>0.25</v>
      </c>
      <c r="L366" s="265"/>
    </row>
    <row r="367" spans="1:12" s="232" customFormat="1" ht="49.5">
      <c r="A367" s="76" t="s">
        <v>67</v>
      </c>
      <c r="B367" s="77">
        <f>IFERROR(VLOOKUP($A367,[3]P.O.!$A:$J,2,),"")</f>
        <v>84214</v>
      </c>
      <c r="C367" s="77" t="str">
        <f>IFERROR(VLOOKUP($A367,[3]P.O.!$A:$J,3,),"")</f>
        <v>SINAPI SERVIÇO</v>
      </c>
      <c r="D367" s="78" t="str">
        <f>IFERROR(VLOOKUP($A367,[3]P.O.!$A:$J,4,),"")</f>
        <v>FORMA PARA ESTRUTURAS DE CONCRETO (PILAR, VIGA E LAJE) EM CHAPA DE MAD   EIRA COMPENSADA RESINADA, DE 1,10 X 2,20, ESPESSURA = 12 MM, 02 UTILIZACOES. (FABRICACAO, MONTAGEM E DESMONTAGEM)</v>
      </c>
      <c r="E367" s="91" t="str">
        <f>IFERROR(VLOOKUP($A367,[3]P.O.!$A:$J,5,),"")</f>
        <v>M2</v>
      </c>
      <c r="F367" s="139">
        <f>IFERROR(VLOOKUP($A367,[3]P.O.!$A:$J,6,),"")</f>
        <v>109.52099999999999</v>
      </c>
      <c r="G367" s="140">
        <f>IFERROR(VLOOKUP($A367,[3]P.O.!$A:$J,7,),"")</f>
        <v>45.98</v>
      </c>
      <c r="H367" s="140">
        <f>IFERROR(VLOOKUP($A367,[3]P.O.!$A:$J,8,),"")</f>
        <v>57.48</v>
      </c>
      <c r="I367" s="140">
        <f>IFERROR(VLOOKUP($A367,[3]P.O.!$A:$J,9,),"")</f>
        <v>6295.27</v>
      </c>
      <c r="J367" s="159">
        <f t="shared" si="46"/>
        <v>2.9622479270424032E-3</v>
      </c>
      <c r="K367" s="145">
        <f>IFERROR(VLOOKUP($A367,[3]P.O.!$A:$J,10,),"")</f>
        <v>0.25</v>
      </c>
      <c r="L367" s="265"/>
    </row>
    <row r="368" spans="1:12" s="232" customFormat="1">
      <c r="A368" s="76" t="s">
        <v>409</v>
      </c>
      <c r="B368" s="77" t="str">
        <f>IFERROR(VLOOKUP($A368,[3]P.O.!$A:$J,2,),"")</f>
        <v>18430/002</v>
      </c>
      <c r="C368" s="77" t="str">
        <f>IFERROR(VLOOKUP($A368,[3]P.O.!$A:$J,3,),"")</f>
        <v>SINAPI COMPESA</v>
      </c>
      <c r="D368" s="78" t="str">
        <f>IFERROR(VLOOKUP($A368,[3]P.O.!$A:$J,4,),"")</f>
        <v>FORMAS DE COMPENSADO RESINADO INCLUSIVE ESCORAMENTO LATERAL</v>
      </c>
      <c r="E368" s="91" t="str">
        <f>IFERROR(VLOOKUP($A368,[3]P.O.!$A:$J,5,),"")</f>
        <v>M2</v>
      </c>
      <c r="F368" s="139">
        <f>IFERROR(VLOOKUP($A368,[3]P.O.!$A:$J,6,),"")</f>
        <v>36.709999999999994</v>
      </c>
      <c r="G368" s="140">
        <f>IFERROR(VLOOKUP($A368,[3]P.O.!$A:$J,7,),"")</f>
        <v>63.53</v>
      </c>
      <c r="H368" s="140">
        <f>IFERROR(VLOOKUP($A368,[3]P.O.!$A:$J,8,),"")</f>
        <v>79.41</v>
      </c>
      <c r="I368" s="140">
        <f>IFERROR(VLOOKUP($A368,[3]P.O.!$A:$J,9,),"")</f>
        <v>2915.14</v>
      </c>
      <c r="J368" s="159">
        <f t="shared" si="46"/>
        <v>1.3717231226044934E-3</v>
      </c>
      <c r="K368" s="145">
        <f>IFERROR(VLOOKUP($A368,[3]P.O.!$A:$J,10,),"")</f>
        <v>0.25</v>
      </c>
      <c r="L368" s="265"/>
    </row>
    <row r="369" spans="1:12" s="232" customFormat="1">
      <c r="A369" s="76" t="s">
        <v>410</v>
      </c>
      <c r="B369" s="77" t="str">
        <f>IFERROR(VLOOKUP($A369,[3]P.O.!$A:$J,2,),"")</f>
        <v>74138/004</v>
      </c>
      <c r="C369" s="77" t="str">
        <f>IFERROR(VLOOKUP($A369,[3]P.O.!$A:$J,3,),"")</f>
        <v>SINAPI SERVIÇO</v>
      </c>
      <c r="D369" s="78" t="str">
        <f>IFERROR(VLOOKUP($A369,[3]P.O.!$A:$J,4,),"")</f>
        <v>CONCRETO USINADO BOMBEADO FCK=30MPA, INCLUSIVE LANCAMENTO E ADENSAMENT   O</v>
      </c>
      <c r="E369" s="91" t="str">
        <f>IFERROR(VLOOKUP($A369,[3]P.O.!$A:$J,5,),"")</f>
        <v>M3</v>
      </c>
      <c r="F369" s="139">
        <f>IFERROR(VLOOKUP($A369,[3]P.O.!$A:$J,6,),"")</f>
        <v>21.234075000000001</v>
      </c>
      <c r="G369" s="140">
        <f>IFERROR(VLOOKUP($A369,[3]P.O.!$A:$J,7,),"")</f>
        <v>391.58</v>
      </c>
      <c r="H369" s="140">
        <f>IFERROR(VLOOKUP($A369,[3]P.O.!$A:$J,8,),"")</f>
        <v>489.48</v>
      </c>
      <c r="I369" s="140">
        <f>IFERROR(VLOOKUP($A369,[3]P.O.!$A:$J,9,),"")</f>
        <v>10393.66</v>
      </c>
      <c r="J369" s="159">
        <f t="shared" si="46"/>
        <v>4.8907509589554603E-3</v>
      </c>
      <c r="K369" s="145">
        <f>IFERROR(VLOOKUP($A369,[3]P.O.!$A:$J,10,),"")</f>
        <v>0.25</v>
      </c>
      <c r="L369" s="265"/>
    </row>
    <row r="370" spans="1:12" s="232" customFormat="1">
      <c r="A370" s="76" t="s">
        <v>411</v>
      </c>
      <c r="B370" s="77" t="str">
        <f>IFERROR(VLOOKUP($A370,[3]P.O.!$A:$J,2,),"")</f>
        <v>9958/001</v>
      </c>
      <c r="C370" s="77" t="str">
        <f>IFERROR(VLOOKUP($A370,[3]P.O.!$A:$J,3,),"")</f>
        <v>SINAPI EMLURB</v>
      </c>
      <c r="D370" s="78" t="str">
        <f>IFERROR(VLOOKUP($A370,[3]P.O.!$A:$J,4,),"")</f>
        <v>FERRO CA-50</v>
      </c>
      <c r="E370" s="91" t="str">
        <f>IFERROR(VLOOKUP($A370,[3]P.O.!$A:$J,5,),"")</f>
        <v>KG</v>
      </c>
      <c r="F370" s="139">
        <f>IFERROR(VLOOKUP($A370,[3]P.O.!$A:$J,6,),"")</f>
        <v>811.51855599999999</v>
      </c>
      <c r="G370" s="140">
        <f>IFERROR(VLOOKUP($A370,[3]P.O.!$A:$J,7,),"")</f>
        <v>6.03</v>
      </c>
      <c r="H370" s="140">
        <f>IFERROR(VLOOKUP($A370,[3]P.O.!$A:$J,8,),"")</f>
        <v>7.54</v>
      </c>
      <c r="I370" s="140">
        <f>IFERROR(VLOOKUP($A370,[3]P.O.!$A:$J,9,),"")</f>
        <v>6118.85</v>
      </c>
      <c r="J370" s="159">
        <f t="shared" si="46"/>
        <v>2.8792332542342757E-3</v>
      </c>
      <c r="K370" s="145">
        <f>IFERROR(VLOOKUP($A370,[3]P.O.!$A:$J,10,),"")</f>
        <v>0.25</v>
      </c>
      <c r="L370" s="265"/>
    </row>
    <row r="371" spans="1:12" s="232" customFormat="1">
      <c r="A371" s="76" t="s">
        <v>412</v>
      </c>
      <c r="B371" s="77" t="str">
        <f>IFERROR(VLOOKUP($A371,[3]P.O.!$A:$J,2,),"")</f>
        <v>9958/002</v>
      </c>
      <c r="C371" s="77" t="str">
        <f>IFERROR(VLOOKUP($A371,[3]P.O.!$A:$J,3,),"")</f>
        <v>SINAPI EMLURB</v>
      </c>
      <c r="D371" s="78" t="str">
        <f>IFERROR(VLOOKUP($A371,[3]P.O.!$A:$J,4,),"")</f>
        <v>FERRO CA-60</v>
      </c>
      <c r="E371" s="91" t="str">
        <f>IFERROR(VLOOKUP($A371,[3]P.O.!$A:$J,5,),"")</f>
        <v>KG</v>
      </c>
      <c r="F371" s="139">
        <f>IFERROR(VLOOKUP($A371,[3]P.O.!$A:$J,6,),"")</f>
        <v>209.26189702499997</v>
      </c>
      <c r="G371" s="140">
        <f>IFERROR(VLOOKUP($A371,[3]P.O.!$A:$J,7,),"")</f>
        <v>6.07</v>
      </c>
      <c r="H371" s="140">
        <f>IFERROR(VLOOKUP($A371,[3]P.O.!$A:$J,8,),"")</f>
        <v>7.59</v>
      </c>
      <c r="I371" s="140">
        <f>IFERROR(VLOOKUP($A371,[3]P.O.!$A:$J,9,),"")</f>
        <v>1588.3</v>
      </c>
      <c r="J371" s="159">
        <f t="shared" si="46"/>
        <v>7.4737674198587965E-4</v>
      </c>
      <c r="K371" s="145">
        <f>IFERROR(VLOOKUP($A371,[3]P.O.!$A:$J,10,),"")</f>
        <v>0.25</v>
      </c>
      <c r="L371" s="265"/>
    </row>
    <row r="372" spans="1:12" s="232" customFormat="1">
      <c r="A372" s="76"/>
      <c r="B372" s="77"/>
      <c r="C372" s="77"/>
      <c r="D372" s="78"/>
      <c r="E372" s="91"/>
      <c r="F372" s="139"/>
      <c r="G372" s="140"/>
      <c r="H372" s="140"/>
      <c r="I372" s="140"/>
      <c r="J372" s="159"/>
      <c r="K372" s="141"/>
    </row>
    <row r="373" spans="1:12" s="231" customFormat="1">
      <c r="A373" s="6" t="s">
        <v>68</v>
      </c>
      <c r="B373" s="25"/>
      <c r="C373" s="25"/>
      <c r="D373" s="32" t="str">
        <f>IFERROR(VLOOKUP($A373,[3]P.O.!$A:$J,4,),"")</f>
        <v>SUPER ESTRUTURA</v>
      </c>
      <c r="E373" s="135"/>
      <c r="F373" s="136"/>
      <c r="G373" s="137"/>
      <c r="H373" s="137"/>
      <c r="I373" s="137">
        <f>SUM(I374:I382)</f>
        <v>27333.719999999998</v>
      </c>
      <c r="J373" s="230">
        <f>IF(I373="","",I373/$E$777)</f>
        <v>1.2861919410661888E-2</v>
      </c>
      <c r="K373" s="138"/>
    </row>
    <row r="374" spans="1:12" s="232" customFormat="1">
      <c r="A374" s="76"/>
      <c r="B374" s="77"/>
      <c r="C374" s="77"/>
      <c r="D374" s="78"/>
      <c r="E374" s="91"/>
      <c r="F374" s="139"/>
      <c r="G374" s="140"/>
      <c r="H374" s="140"/>
      <c r="I374" s="140"/>
      <c r="J374" s="159"/>
      <c r="K374" s="141"/>
    </row>
    <row r="375" spans="1:12" s="232" customFormat="1">
      <c r="A375" s="76" t="s">
        <v>69</v>
      </c>
      <c r="B375" s="77" t="str">
        <f>IFERROR(VLOOKUP($A375,[3]P.O.!$A:$J,2,),"")</f>
        <v>15561/003</v>
      </c>
      <c r="C375" s="77" t="str">
        <f>IFERROR(VLOOKUP($A375,[3]P.O.!$A:$J,3,),"")</f>
        <v>SINAPI EMLURB</v>
      </c>
      <c r="D375" s="78" t="str">
        <f>IFERROR(VLOOKUP($A375,[3]P.O.!$A:$J,4,),"")</f>
        <v>FORMAS PARA PILARES</v>
      </c>
      <c r="E375" s="91" t="str">
        <f>IFERROR(VLOOKUP($A375,[3]P.O.!$A:$J,5,),"")</f>
        <v>M2</v>
      </c>
      <c r="F375" s="139">
        <f>IFERROR(VLOOKUP($A375,[3]P.O.!$A:$J,6,),"")</f>
        <v>53.940000000000005</v>
      </c>
      <c r="G375" s="140">
        <f>IFERROR(VLOOKUP($A375,[3]P.O.!$A:$J,7,),"")</f>
        <v>68.62</v>
      </c>
      <c r="H375" s="140">
        <f>IFERROR(VLOOKUP($A375,[3]P.O.!$A:$J,8,),"")</f>
        <v>85.78</v>
      </c>
      <c r="I375" s="140">
        <f>IFERROR(VLOOKUP($A375,[3]P.O.!$A:$J,9,),"")</f>
        <v>4626.97</v>
      </c>
      <c r="J375" s="159">
        <f t="shared" ref="J375:J381" si="47">IF(I375="","",I375/$E$777)</f>
        <v>2.1772270754054053E-3</v>
      </c>
      <c r="K375" s="145">
        <f>IFERROR(VLOOKUP($A375,[3]P.O.!$A:$J,10,),"")</f>
        <v>0.25</v>
      </c>
      <c r="L375" s="265"/>
    </row>
    <row r="376" spans="1:12" s="232" customFormat="1">
      <c r="A376" s="76" t="s">
        <v>70</v>
      </c>
      <c r="B376" s="77" t="str">
        <f>IFERROR(VLOOKUP($A376,[3]P.O.!$A:$J,2,),"")</f>
        <v>15561/001</v>
      </c>
      <c r="C376" s="77" t="str">
        <f>IFERROR(VLOOKUP($A376,[3]P.O.!$A:$J,3,),"")</f>
        <v>SINAPI EMLURB</v>
      </c>
      <c r="D376" s="78" t="str">
        <f>IFERROR(VLOOKUP($A376,[3]P.O.!$A:$J,4,),"")</f>
        <v>FORMAS PARA LAJES</v>
      </c>
      <c r="E376" s="91" t="str">
        <f>IFERROR(VLOOKUP($A376,[3]P.O.!$A:$J,5,),"")</f>
        <v>M2</v>
      </c>
      <c r="F376" s="139">
        <f>IFERROR(VLOOKUP($A376,[3]P.O.!$A:$J,6,),"")</f>
        <v>85.827000000000012</v>
      </c>
      <c r="G376" s="140">
        <f>IFERROR(VLOOKUP($A376,[3]P.O.!$A:$J,7,),"")</f>
        <v>56.48</v>
      </c>
      <c r="H376" s="140">
        <f>IFERROR(VLOOKUP($A376,[3]P.O.!$A:$J,8,),"")</f>
        <v>70.599999999999994</v>
      </c>
      <c r="I376" s="140">
        <f>IFERROR(VLOOKUP($A376,[3]P.O.!$A:$J,9,),"")</f>
        <v>6059.39</v>
      </c>
      <c r="J376" s="159">
        <f t="shared" si="47"/>
        <v>2.8512542697360821E-3</v>
      </c>
      <c r="K376" s="145">
        <f>IFERROR(VLOOKUP($A376,[3]P.O.!$A:$J,10,),"")</f>
        <v>0.25</v>
      </c>
      <c r="L376" s="265"/>
    </row>
    <row r="377" spans="1:12" s="232" customFormat="1">
      <c r="A377" s="76" t="s">
        <v>71</v>
      </c>
      <c r="B377" s="77" t="str">
        <f>IFERROR(VLOOKUP($A377,[3]P.O.!$A:$J,2,),"")</f>
        <v>15561/002</v>
      </c>
      <c r="C377" s="77" t="str">
        <f>IFERROR(VLOOKUP($A377,[3]P.O.!$A:$J,3,),"")</f>
        <v>SINAPI EMLURB</v>
      </c>
      <c r="D377" s="78" t="str">
        <f>IFERROR(VLOOKUP($A377,[3]P.O.!$A:$J,4,),"")</f>
        <v>FORMAS PARA VIGAS</v>
      </c>
      <c r="E377" s="91" t="str">
        <f>IFERROR(VLOOKUP($A377,[3]P.O.!$A:$J,5,),"")</f>
        <v>M2</v>
      </c>
      <c r="F377" s="139">
        <f>IFERROR(VLOOKUP($A377,[3]P.O.!$A:$J,6,),"")</f>
        <v>61.522999999999996</v>
      </c>
      <c r="G377" s="140">
        <f>IFERROR(VLOOKUP($A377,[3]P.O.!$A:$J,7,),"")</f>
        <v>70.53</v>
      </c>
      <c r="H377" s="140">
        <f>IFERROR(VLOOKUP($A377,[3]P.O.!$A:$J,8,),"")</f>
        <v>88.16</v>
      </c>
      <c r="I377" s="140">
        <f>IFERROR(VLOOKUP($A377,[3]P.O.!$A:$J,9,),"")</f>
        <v>5423.87</v>
      </c>
      <c r="J377" s="159">
        <f t="shared" si="47"/>
        <v>2.5522094626676023E-3</v>
      </c>
      <c r="K377" s="145">
        <f>IFERROR(VLOOKUP($A377,[3]P.O.!$A:$J,10,),"")</f>
        <v>0.25</v>
      </c>
      <c r="L377" s="265"/>
    </row>
    <row r="378" spans="1:12" s="232" customFormat="1">
      <c r="A378" s="76" t="s">
        <v>72</v>
      </c>
      <c r="B378" s="77" t="str">
        <f>IFERROR(VLOOKUP($A378,[3]P.O.!$A:$J,2,),"")</f>
        <v>74138/004</v>
      </c>
      <c r="C378" s="77" t="str">
        <f>IFERROR(VLOOKUP($A378,[3]P.O.!$A:$J,3,),"")</f>
        <v>SINAPI SERVIÇO</v>
      </c>
      <c r="D378" s="78" t="str">
        <f>IFERROR(VLOOKUP($A378,[3]P.O.!$A:$J,4,),"")</f>
        <v>CONCRETO USINADO BOMBEADO FCK=30MPA, INCLUSIVE LANCAMENTO E ADENSAMENT   O</v>
      </c>
      <c r="E378" s="91" t="str">
        <f>IFERROR(VLOOKUP($A378,[3]P.O.!$A:$J,5,),"")</f>
        <v>M3</v>
      </c>
      <c r="F378" s="139">
        <f>IFERROR(VLOOKUP($A378,[3]P.O.!$A:$J,6,),"")</f>
        <v>2.3947500000000002</v>
      </c>
      <c r="G378" s="140">
        <f>IFERROR(VLOOKUP($A378,[3]P.O.!$A:$J,7,),"")</f>
        <v>391.58</v>
      </c>
      <c r="H378" s="140">
        <f>IFERROR(VLOOKUP($A378,[3]P.O.!$A:$J,8,),"")</f>
        <v>489.48</v>
      </c>
      <c r="I378" s="140">
        <f>IFERROR(VLOOKUP($A378,[3]P.O.!$A:$J,9,),"")</f>
        <v>1172.18</v>
      </c>
      <c r="J378" s="159">
        <f t="shared" si="47"/>
        <v>5.5157090563559053E-4</v>
      </c>
      <c r="K378" s="145">
        <f>IFERROR(VLOOKUP($A378,[3]P.O.!$A:$J,10,),"")</f>
        <v>0.25</v>
      </c>
      <c r="L378" s="265"/>
    </row>
    <row r="379" spans="1:12" s="232" customFormat="1">
      <c r="A379" s="76" t="s">
        <v>73</v>
      </c>
      <c r="B379" s="77" t="str">
        <f>IFERROR(VLOOKUP($A379,[3]P.O.!$A:$J,2,),"")</f>
        <v>74138/004</v>
      </c>
      <c r="C379" s="77" t="str">
        <f>IFERROR(VLOOKUP($A379,[3]P.O.!$A:$J,3,),"")</f>
        <v>SINAPI SERVIÇO</v>
      </c>
      <c r="D379" s="78" t="str">
        <f>IFERROR(VLOOKUP($A379,[3]P.O.!$A:$J,4,),"")</f>
        <v>CONCRETO USINADO BOMBEADO FCK=30MPA, INCLUSIVE LANCAMENTO E ADENSAMENT   O</v>
      </c>
      <c r="E379" s="91" t="str">
        <f>IFERROR(VLOOKUP($A379,[3]P.O.!$A:$J,5,),"")</f>
        <v>M3</v>
      </c>
      <c r="F379" s="139">
        <f>IFERROR(VLOOKUP($A379,[3]P.O.!$A:$J,6,),"")</f>
        <v>12.874049999999999</v>
      </c>
      <c r="G379" s="140">
        <f>IFERROR(VLOOKUP($A379,[3]P.O.!$A:$J,7,),"")</f>
        <v>391.58</v>
      </c>
      <c r="H379" s="140">
        <f>IFERROR(VLOOKUP($A379,[3]P.O.!$A:$J,8,),"")</f>
        <v>489.48</v>
      </c>
      <c r="I379" s="140">
        <f>IFERROR(VLOOKUP($A379,[3]P.O.!$A:$J,9,),"")</f>
        <v>6301.59</v>
      </c>
      <c r="J379" s="159">
        <f t="shared" si="47"/>
        <v>2.965221811704841E-3</v>
      </c>
      <c r="K379" s="145">
        <f>IFERROR(VLOOKUP($A379,[3]P.O.!$A:$J,10,),"")</f>
        <v>0.25</v>
      </c>
      <c r="L379" s="265"/>
    </row>
    <row r="380" spans="1:12" s="232" customFormat="1">
      <c r="A380" s="76" t="s">
        <v>413</v>
      </c>
      <c r="B380" s="77" t="str">
        <f>IFERROR(VLOOKUP($A380,[3]P.O.!$A:$J,2,),"")</f>
        <v>15566/001</v>
      </c>
      <c r="C380" s="77" t="str">
        <f>IFERROR(VLOOKUP($A380,[3]P.O.!$A:$J,3,),"")</f>
        <v>SINAPI EMLURB</v>
      </c>
      <c r="D380" s="78" t="str">
        <f>IFERROR(VLOOKUP($A380,[3]P.O.!$A:$J,4,),"")</f>
        <v>FERRO CA-50</v>
      </c>
      <c r="E380" s="91" t="str">
        <f>IFERROR(VLOOKUP($A380,[3]P.O.!$A:$J,5,),"")</f>
        <v>KG</v>
      </c>
      <c r="F380" s="139">
        <f>IFERROR(VLOOKUP($A380,[3]P.O.!$A:$J,6,),"")</f>
        <v>326.49696450000005</v>
      </c>
      <c r="G380" s="140">
        <f>IFERROR(VLOOKUP($A380,[3]P.O.!$A:$J,7,),"")</f>
        <v>6.2</v>
      </c>
      <c r="H380" s="140">
        <f>IFERROR(VLOOKUP($A380,[3]P.O.!$A:$J,8,),"")</f>
        <v>7.75</v>
      </c>
      <c r="I380" s="140">
        <f>IFERROR(VLOOKUP($A380,[3]P.O.!$A:$J,9,),"")</f>
        <v>2530.35</v>
      </c>
      <c r="J380" s="159">
        <f t="shared" si="47"/>
        <v>1.1906596606963233E-3</v>
      </c>
      <c r="K380" s="145">
        <f>IFERROR(VLOOKUP($A380,[3]P.O.!$A:$J,10,),"")</f>
        <v>0.25</v>
      </c>
      <c r="L380" s="265"/>
    </row>
    <row r="381" spans="1:12" s="232" customFormat="1">
      <c r="A381" s="76" t="s">
        <v>414</v>
      </c>
      <c r="B381" s="77" t="str">
        <f>IFERROR(VLOOKUP($A381,[3]P.O.!$A:$J,2,),"")</f>
        <v>15566/002</v>
      </c>
      <c r="C381" s="77" t="str">
        <f>IFERROR(VLOOKUP($A381,[3]P.O.!$A:$J,3,),"")</f>
        <v>SINAPI EMLURB</v>
      </c>
      <c r="D381" s="78" t="str">
        <f>IFERROR(VLOOKUP($A381,[3]P.O.!$A:$J,4,),"")</f>
        <v>FERRO CA-60</v>
      </c>
      <c r="E381" s="91" t="str">
        <f>IFERROR(VLOOKUP($A381,[3]P.O.!$A:$J,5,),"")</f>
        <v>KG</v>
      </c>
      <c r="F381" s="139">
        <f>IFERROR(VLOOKUP($A381,[3]P.O.!$A:$J,6,),"")</f>
        <v>155.73023109999997</v>
      </c>
      <c r="G381" s="140">
        <f>IFERROR(VLOOKUP($A381,[3]P.O.!$A:$J,7,),"")</f>
        <v>6.26</v>
      </c>
      <c r="H381" s="140">
        <f>IFERROR(VLOOKUP($A381,[3]P.O.!$A:$J,8,),"")</f>
        <v>7.83</v>
      </c>
      <c r="I381" s="140">
        <f>IFERROR(VLOOKUP($A381,[3]P.O.!$A:$J,9,),"")</f>
        <v>1219.3699999999999</v>
      </c>
      <c r="J381" s="159">
        <f t="shared" si="47"/>
        <v>5.7377622481604351E-4</v>
      </c>
      <c r="K381" s="145">
        <f>IFERROR(VLOOKUP($A381,[3]P.O.!$A:$J,10,),"")</f>
        <v>0.25</v>
      </c>
      <c r="L381" s="265"/>
    </row>
    <row r="382" spans="1:12" s="232" customFormat="1">
      <c r="A382" s="76"/>
      <c r="B382" s="77"/>
      <c r="C382" s="77"/>
      <c r="D382" s="78"/>
      <c r="E382" s="91"/>
      <c r="F382" s="139"/>
      <c r="G382" s="140"/>
      <c r="H382" s="140"/>
      <c r="I382" s="140"/>
      <c r="J382" s="159"/>
      <c r="K382" s="141"/>
    </row>
    <row r="383" spans="1:12" s="231" customFormat="1">
      <c r="A383" s="6" t="s">
        <v>74</v>
      </c>
      <c r="B383" s="25"/>
      <c r="C383" s="25"/>
      <c r="D383" s="32" t="str">
        <f>IFERROR(VLOOKUP($A383,[3]P.O.!$A:$J,4,),"")</f>
        <v>SUPORTE ÀS CAIXAS DÁGUA</v>
      </c>
      <c r="E383" s="135"/>
      <c r="F383" s="136"/>
      <c r="G383" s="137"/>
      <c r="H383" s="137"/>
      <c r="I383" s="137">
        <f>SUM(I384:I392)</f>
        <v>8587.49</v>
      </c>
      <c r="J383" s="230">
        <f>IF(I383="","",I383/$E$777)</f>
        <v>4.040855189848468E-3</v>
      </c>
      <c r="K383" s="138"/>
    </row>
    <row r="384" spans="1:12" s="232" customFormat="1">
      <c r="A384" s="76"/>
      <c r="B384" s="77"/>
      <c r="C384" s="77"/>
      <c r="D384" s="78"/>
      <c r="E384" s="91"/>
      <c r="F384" s="139"/>
      <c r="G384" s="140"/>
      <c r="H384" s="140"/>
      <c r="I384" s="140"/>
      <c r="J384" s="159"/>
      <c r="K384" s="141"/>
    </row>
    <row r="385" spans="1:12" s="232" customFormat="1">
      <c r="A385" s="76" t="s">
        <v>75</v>
      </c>
      <c r="B385" s="77" t="str">
        <f>IFERROR(VLOOKUP($A385,[3]P.O.!$A:$J,2,),"")</f>
        <v>15561/003</v>
      </c>
      <c r="C385" s="77" t="str">
        <f>IFERROR(VLOOKUP($A385,[3]P.O.!$A:$J,3,),"")</f>
        <v>SINAPI EMLURB</v>
      </c>
      <c r="D385" s="78" t="str">
        <f>IFERROR(VLOOKUP($A385,[3]P.O.!$A:$J,4,),"")</f>
        <v>FORMAS PARA PILARES</v>
      </c>
      <c r="E385" s="91" t="str">
        <f>IFERROR(VLOOKUP($A385,[3]P.O.!$A:$J,5,),"")</f>
        <v>M2</v>
      </c>
      <c r="F385" s="139">
        <f>IFERROR(VLOOKUP($A385,[3]P.O.!$A:$J,6,),"")</f>
        <v>17.248000000000001</v>
      </c>
      <c r="G385" s="140">
        <f>IFERROR(VLOOKUP($A385,[3]P.O.!$A:$J,7,),"")</f>
        <v>68.62</v>
      </c>
      <c r="H385" s="140">
        <f>IFERROR(VLOOKUP($A385,[3]P.O.!$A:$J,8,),"")</f>
        <v>85.78</v>
      </c>
      <c r="I385" s="140">
        <f>IFERROR(VLOOKUP($A385,[3]P.O.!$A:$J,9,),"")</f>
        <v>1479.53</v>
      </c>
      <c r="J385" s="159">
        <f t="shared" ref="J385:J391" si="48">IF(I385="","",I385/$E$777)</f>
        <v>6.9619486940147857E-4</v>
      </c>
      <c r="K385" s="145">
        <f>IFERROR(VLOOKUP($A385,[3]P.O.!$A:$J,10,),"")</f>
        <v>0.25</v>
      </c>
      <c r="L385" s="265"/>
    </row>
    <row r="386" spans="1:12" s="232" customFormat="1">
      <c r="A386" s="76" t="s">
        <v>415</v>
      </c>
      <c r="B386" s="77" t="str">
        <f>IFERROR(VLOOKUP($A386,[3]P.O.!$A:$J,2,),"")</f>
        <v>15561/001</v>
      </c>
      <c r="C386" s="77" t="str">
        <f>IFERROR(VLOOKUP($A386,[3]P.O.!$A:$J,3,),"")</f>
        <v>SINAPI EMLURB</v>
      </c>
      <c r="D386" s="78" t="str">
        <f>IFERROR(VLOOKUP($A386,[3]P.O.!$A:$J,4,),"")</f>
        <v>FORMAS PARA LAJES</v>
      </c>
      <c r="E386" s="91" t="str">
        <f>IFERROR(VLOOKUP($A386,[3]P.O.!$A:$J,5,),"")</f>
        <v>M2</v>
      </c>
      <c r="F386" s="139">
        <f>IFERROR(VLOOKUP($A386,[3]P.O.!$A:$J,6,),"")</f>
        <v>14.118</v>
      </c>
      <c r="G386" s="140">
        <f>IFERROR(VLOOKUP($A386,[3]P.O.!$A:$J,7,),"")</f>
        <v>56.48</v>
      </c>
      <c r="H386" s="140">
        <f>IFERROR(VLOOKUP($A386,[3]P.O.!$A:$J,8,),"")</f>
        <v>70.599999999999994</v>
      </c>
      <c r="I386" s="140">
        <f>IFERROR(VLOOKUP($A386,[3]P.O.!$A:$J,9,),"")</f>
        <v>996.73</v>
      </c>
      <c r="J386" s="159">
        <f t="shared" si="48"/>
        <v>4.690126676569828E-4</v>
      </c>
      <c r="K386" s="145">
        <f>IFERROR(VLOOKUP($A386,[3]P.O.!$A:$J,10,),"")</f>
        <v>0.25</v>
      </c>
      <c r="L386" s="265"/>
    </row>
    <row r="387" spans="1:12" s="232" customFormat="1">
      <c r="A387" s="76" t="s">
        <v>416</v>
      </c>
      <c r="B387" s="77" t="str">
        <f>IFERROR(VLOOKUP($A387,[3]P.O.!$A:$J,2,),"")</f>
        <v>15561/002</v>
      </c>
      <c r="C387" s="77" t="str">
        <f>IFERROR(VLOOKUP($A387,[3]P.O.!$A:$J,3,),"")</f>
        <v>SINAPI EMLURB</v>
      </c>
      <c r="D387" s="78" t="str">
        <f>IFERROR(VLOOKUP($A387,[3]P.O.!$A:$J,4,),"")</f>
        <v>FORMAS PARA VIGAS</v>
      </c>
      <c r="E387" s="91" t="str">
        <f>IFERROR(VLOOKUP($A387,[3]P.O.!$A:$J,5,),"")</f>
        <v>M2</v>
      </c>
      <c r="F387" s="139">
        <f>IFERROR(VLOOKUP($A387,[3]P.O.!$A:$J,6,),"")</f>
        <v>15.64</v>
      </c>
      <c r="G387" s="140">
        <f>IFERROR(VLOOKUP($A387,[3]P.O.!$A:$J,7,),"")</f>
        <v>70.53</v>
      </c>
      <c r="H387" s="140">
        <f>IFERROR(VLOOKUP($A387,[3]P.O.!$A:$J,8,),"")</f>
        <v>88.16</v>
      </c>
      <c r="I387" s="140">
        <f>IFERROR(VLOOKUP($A387,[3]P.O.!$A:$J,9,),"")</f>
        <v>1378.82</v>
      </c>
      <c r="J387" s="159">
        <f t="shared" si="48"/>
        <v>6.4880564086442773E-4</v>
      </c>
      <c r="K387" s="145">
        <f>IFERROR(VLOOKUP($A387,[3]P.O.!$A:$J,10,),"")</f>
        <v>0.25</v>
      </c>
      <c r="L387" s="265"/>
    </row>
    <row r="388" spans="1:12" s="232" customFormat="1">
      <c r="A388" s="76" t="s">
        <v>417</v>
      </c>
      <c r="B388" s="77" t="str">
        <f>IFERROR(VLOOKUP($A388,[3]P.O.!$A:$J,2,),"")</f>
        <v>74138/004</v>
      </c>
      <c r="C388" s="77" t="str">
        <f>IFERROR(VLOOKUP($A388,[3]P.O.!$A:$J,3,),"")</f>
        <v>SINAPI SERVIÇO</v>
      </c>
      <c r="D388" s="78" t="str">
        <f>IFERROR(VLOOKUP($A388,[3]P.O.!$A:$J,4,),"")</f>
        <v>CONCRETO USINADO BOMBEADO FCK=30MPA, INCLUSIVE LANCAMENTO E ADENSAMENT   O</v>
      </c>
      <c r="E388" s="91" t="str">
        <f>IFERROR(VLOOKUP($A388,[3]P.O.!$A:$J,5,),"")</f>
        <v>M3</v>
      </c>
      <c r="F388" s="139">
        <f>IFERROR(VLOOKUP($A388,[3]P.O.!$A:$J,6,),"")</f>
        <v>0.93100000000000005</v>
      </c>
      <c r="G388" s="140">
        <f>IFERROR(VLOOKUP($A388,[3]P.O.!$A:$J,7,),"")</f>
        <v>391.58</v>
      </c>
      <c r="H388" s="140">
        <f>IFERROR(VLOOKUP($A388,[3]P.O.!$A:$J,8,),"")</f>
        <v>489.48</v>
      </c>
      <c r="I388" s="140">
        <f>IFERROR(VLOOKUP($A388,[3]P.O.!$A:$J,9,),"")</f>
        <v>455.71</v>
      </c>
      <c r="J388" s="159">
        <f t="shared" si="48"/>
        <v>2.1443496511388603E-4</v>
      </c>
      <c r="K388" s="145">
        <f>IFERROR(VLOOKUP($A388,[3]P.O.!$A:$J,10,),"")</f>
        <v>0.25</v>
      </c>
      <c r="L388" s="265"/>
    </row>
    <row r="389" spans="1:12" s="232" customFormat="1">
      <c r="A389" s="76" t="s">
        <v>418</v>
      </c>
      <c r="B389" s="77" t="str">
        <f>IFERROR(VLOOKUP($A389,[3]P.O.!$A:$J,2,),"")</f>
        <v>74138/004</v>
      </c>
      <c r="C389" s="77" t="str">
        <f>IFERROR(VLOOKUP($A389,[3]P.O.!$A:$J,3,),"")</f>
        <v>SINAPI SERVIÇO</v>
      </c>
      <c r="D389" s="78" t="str">
        <f>IFERROR(VLOOKUP($A389,[3]P.O.!$A:$J,4,),"")</f>
        <v>CONCRETO USINADO BOMBEADO FCK=30MPA, INCLUSIVE LANCAMENTO E ADENSAMENT   O</v>
      </c>
      <c r="E389" s="91" t="str">
        <f>IFERROR(VLOOKUP($A389,[3]P.O.!$A:$J,5,),"")</f>
        <v>M3</v>
      </c>
      <c r="F389" s="139">
        <f>IFERROR(VLOOKUP($A389,[3]P.O.!$A:$J,6,),"")</f>
        <v>3.2907000000000002</v>
      </c>
      <c r="G389" s="140">
        <f>IFERROR(VLOOKUP($A389,[3]P.O.!$A:$J,7,),"")</f>
        <v>391.58</v>
      </c>
      <c r="H389" s="140">
        <f>IFERROR(VLOOKUP($A389,[3]P.O.!$A:$J,8,),"")</f>
        <v>489.48</v>
      </c>
      <c r="I389" s="140">
        <f>IFERROR(VLOOKUP($A389,[3]P.O.!$A:$J,9,),"")</f>
        <v>1610.73</v>
      </c>
      <c r="J389" s="159">
        <f t="shared" si="48"/>
        <v>7.5793120922931182E-4</v>
      </c>
      <c r="K389" s="145">
        <f>IFERROR(VLOOKUP($A389,[3]P.O.!$A:$J,10,),"")</f>
        <v>0.25</v>
      </c>
      <c r="L389" s="265"/>
    </row>
    <row r="390" spans="1:12" s="232" customFormat="1">
      <c r="A390" s="76" t="s">
        <v>419</v>
      </c>
      <c r="B390" s="77" t="str">
        <f>IFERROR(VLOOKUP($A390,[3]P.O.!$A:$J,2,),"")</f>
        <v>15566/001</v>
      </c>
      <c r="C390" s="77" t="str">
        <f>IFERROR(VLOOKUP($A390,[3]P.O.!$A:$J,3,),"")</f>
        <v>SINAPI EMLURB</v>
      </c>
      <c r="D390" s="78" t="str">
        <f>IFERROR(VLOOKUP($A390,[3]P.O.!$A:$J,4,),"")</f>
        <v>FERRO CA-50</v>
      </c>
      <c r="E390" s="91" t="str">
        <f>IFERROR(VLOOKUP($A390,[3]P.O.!$A:$J,5,),"")</f>
        <v>KG</v>
      </c>
      <c r="F390" s="139">
        <f>IFERROR(VLOOKUP($A390,[3]P.O.!$A:$J,6,),"")</f>
        <v>300.06310999999999</v>
      </c>
      <c r="G390" s="140">
        <f>IFERROR(VLOOKUP($A390,[3]P.O.!$A:$J,7,),"")</f>
        <v>6.2</v>
      </c>
      <c r="H390" s="140">
        <f>IFERROR(VLOOKUP($A390,[3]P.O.!$A:$J,8,),"")</f>
        <v>7.75</v>
      </c>
      <c r="I390" s="140">
        <f>IFERROR(VLOOKUP($A390,[3]P.O.!$A:$J,9,),"")</f>
        <v>2325.4899999999998</v>
      </c>
      <c r="J390" s="159">
        <f t="shared" si="48"/>
        <v>1.0942625069072234E-3</v>
      </c>
      <c r="K390" s="145">
        <f>IFERROR(VLOOKUP($A390,[3]P.O.!$A:$J,10,),"")</f>
        <v>0.25</v>
      </c>
      <c r="L390" s="265"/>
    </row>
    <row r="391" spans="1:12" s="232" customFormat="1">
      <c r="A391" s="76" t="s">
        <v>420</v>
      </c>
      <c r="B391" s="77" t="str">
        <f>IFERROR(VLOOKUP($A391,[3]P.O.!$A:$J,2,),"")</f>
        <v>COMPS21001</v>
      </c>
      <c r="C391" s="77" t="str">
        <f>IFERROR(VLOOKUP($A391,[3]P.O.!$A:$J,3,),"")</f>
        <v>COMPOSIÇÃO</v>
      </c>
      <c r="D391" s="78" t="str">
        <f>IFERROR(VLOOKUP($A391,[3]P.O.!$A:$J,4,),"")</f>
        <v>FUROS EM CONCRETO Ø16 X 550MM - EXECUÇÃO</v>
      </c>
      <c r="E391" s="91" t="str">
        <f>IFERROR(VLOOKUP($A391,[3]P.O.!$A:$J,5,),"")</f>
        <v>UND</v>
      </c>
      <c r="F391" s="139">
        <f>IFERROR(VLOOKUP($A391,[3]P.O.!$A:$J,6,),"")</f>
        <v>16</v>
      </c>
      <c r="G391" s="140">
        <f>IFERROR(VLOOKUP($A391,[3]P.O.!$A:$J,7,),"")</f>
        <v>17.02</v>
      </c>
      <c r="H391" s="140">
        <f>IFERROR(VLOOKUP($A391,[3]P.O.!$A:$J,8,),"")</f>
        <v>21.28</v>
      </c>
      <c r="I391" s="140">
        <f>IFERROR(VLOOKUP($A391,[3]P.O.!$A:$J,9,),"")</f>
        <v>340.48</v>
      </c>
      <c r="J391" s="159">
        <f t="shared" si="48"/>
        <v>1.6021333067515729E-4</v>
      </c>
      <c r="K391" s="145">
        <f>IFERROR(VLOOKUP($A391,[3]P.O.!$A:$J,10,),"")</f>
        <v>0.25</v>
      </c>
      <c r="L391" s="265"/>
    </row>
    <row r="392" spans="1:12" s="232" customFormat="1">
      <c r="A392" s="76"/>
      <c r="B392" s="77"/>
      <c r="C392" s="77"/>
      <c r="D392" s="78"/>
      <c r="E392" s="91"/>
      <c r="F392" s="139"/>
      <c r="G392" s="140"/>
      <c r="H392" s="140"/>
      <c r="I392" s="140"/>
      <c r="J392" s="159"/>
      <c r="K392" s="141"/>
    </row>
    <row r="393" spans="1:12" s="231" customFormat="1">
      <c r="A393" s="6" t="s">
        <v>421</v>
      </c>
      <c r="B393" s="25"/>
      <c r="C393" s="25"/>
      <c r="D393" s="32" t="str">
        <f>IFERROR(VLOOKUP($A393,[3]P.O.!$A:$J,4,),"")</f>
        <v>QUIOSQUES</v>
      </c>
      <c r="E393" s="135"/>
      <c r="F393" s="136"/>
      <c r="G393" s="137"/>
      <c r="H393" s="137"/>
      <c r="I393" s="137">
        <f>SUM(I394:I405)</f>
        <v>133107.33000000002</v>
      </c>
      <c r="J393" s="230">
        <f>IF(I393="","",I393/$E$777)</f>
        <v>6.2633836573594004E-2</v>
      </c>
      <c r="K393" s="138"/>
    </row>
    <row r="394" spans="1:12" s="232" customFormat="1">
      <c r="A394" s="76"/>
      <c r="B394" s="77"/>
      <c r="C394" s="77"/>
      <c r="D394" s="78"/>
      <c r="E394" s="91"/>
      <c r="F394" s="139"/>
      <c r="G394" s="140"/>
      <c r="H394" s="140"/>
      <c r="I394" s="140"/>
      <c r="J394" s="159"/>
      <c r="K394" s="141"/>
    </row>
    <row r="395" spans="1:12" s="232" customFormat="1" ht="33">
      <c r="A395" s="76" t="s">
        <v>422</v>
      </c>
      <c r="B395" s="77" t="str">
        <f>IFERROR(VLOOKUP($A395,[3]P.O.!$A:$J,2,),"")</f>
        <v>73965/010</v>
      </c>
      <c r="C395" s="77" t="str">
        <f>IFERROR(VLOOKUP($A395,[3]P.O.!$A:$J,3,),"")</f>
        <v>SINAPI SERVIÇO</v>
      </c>
      <c r="D395" s="78" t="str">
        <f>IFERROR(VLOOKUP($A395,[3]P.O.!$A:$J,4,),"")</f>
        <v>ESCAVACAO MANUAL DE VALA EM   MATERIAL DE 1A CATEGORIA ATE 1,5M EXCLUIN   DO ESGOTAMENTO / ESCORAMENTO</v>
      </c>
      <c r="E395" s="91" t="str">
        <f>IFERROR(VLOOKUP($A395,[3]P.O.!$A:$J,5,),"")</f>
        <v>M3</v>
      </c>
      <c r="F395" s="139">
        <f>IFERROR(VLOOKUP($A395,[3]P.O.!$A:$J,6,),"")</f>
        <v>8.75</v>
      </c>
      <c r="G395" s="140">
        <f>IFERROR(VLOOKUP($A395,[3]P.O.!$A:$J,7,),"")</f>
        <v>42.92</v>
      </c>
      <c r="H395" s="140">
        <f>IFERROR(VLOOKUP($A395,[3]P.O.!$A:$J,8,),"")</f>
        <v>53.65</v>
      </c>
      <c r="I395" s="140">
        <f>IFERROR(VLOOKUP($A395,[3]P.O.!$A:$J,9,),"")</f>
        <v>469.44</v>
      </c>
      <c r="J395" s="159">
        <f t="shared" ref="J395:J404" si="49">IF(I395="","",I395/$E$777)</f>
        <v>2.2089563543275912E-4</v>
      </c>
      <c r="K395" s="145">
        <f>IFERROR(VLOOKUP($A395,[3]P.O.!$A:$J,10,),"")</f>
        <v>0.25</v>
      </c>
      <c r="L395" s="265"/>
    </row>
    <row r="396" spans="1:12" s="232" customFormat="1">
      <c r="A396" s="76" t="s">
        <v>423</v>
      </c>
      <c r="B396" s="77" t="str">
        <f>IFERROR(VLOOKUP($A396,[3]P.O.!$A:$J,2,),"")</f>
        <v>74138/004</v>
      </c>
      <c r="C396" s="77" t="str">
        <f>IFERROR(VLOOKUP($A396,[3]P.O.!$A:$J,3,),"")</f>
        <v>SINAPI SERVIÇO</v>
      </c>
      <c r="D396" s="78" t="str">
        <f>IFERROR(VLOOKUP($A396,[3]P.O.!$A:$J,4,),"")</f>
        <v>CONCRETO USINADO BOMBEADO FCK=30MPA, INCLUSIVE LANCAMENTO E ADENSAMENT   O</v>
      </c>
      <c r="E396" s="91" t="str">
        <f>IFERROR(VLOOKUP($A396,[3]P.O.!$A:$J,5,),"")</f>
        <v>M3</v>
      </c>
      <c r="F396" s="139">
        <f>IFERROR(VLOOKUP($A396,[3]P.O.!$A:$J,6,),"")</f>
        <v>3.5972499999999998</v>
      </c>
      <c r="G396" s="140">
        <f>IFERROR(VLOOKUP($A396,[3]P.O.!$A:$J,7,),"")</f>
        <v>391.58</v>
      </c>
      <c r="H396" s="140">
        <f>IFERROR(VLOOKUP($A396,[3]P.O.!$A:$J,8,),"")</f>
        <v>489.48</v>
      </c>
      <c r="I396" s="140">
        <f>IFERROR(VLOOKUP($A396,[3]P.O.!$A:$J,9,),"")</f>
        <v>1760.78</v>
      </c>
      <c r="J396" s="159">
        <f t="shared" si="49"/>
        <v>8.2853744239368957E-4</v>
      </c>
      <c r="K396" s="145">
        <f>IFERROR(VLOOKUP($A396,[3]P.O.!$A:$J,10,),"")</f>
        <v>0.25</v>
      </c>
      <c r="L396" s="265"/>
    </row>
    <row r="397" spans="1:12" s="232" customFormat="1" ht="33">
      <c r="A397" s="76" t="s">
        <v>424</v>
      </c>
      <c r="B397" s="77">
        <f>IFERROR(VLOOKUP($A397,[3]P.O.!$A:$J,2,),"")</f>
        <v>5652</v>
      </c>
      <c r="C397" s="77" t="str">
        <f>IFERROR(VLOOKUP($A397,[3]P.O.!$A:$J,3,),"")</f>
        <v>SINAPI SERVIÇO</v>
      </c>
      <c r="D397" s="78" t="str">
        <f>IFERROR(VLOOKUP($A397,[3]P.O.!$A:$J,4,),"")</f>
        <v>CONCRETO NAO ESTRUTURAL, CONSUMO 150KG/M3, PREPARO COM BETONEIRA, SEM    LANCAMENTO</v>
      </c>
      <c r="E397" s="91" t="str">
        <f>IFERROR(VLOOKUP($A397,[3]P.O.!$A:$J,5,),"")</f>
        <v>M3</v>
      </c>
      <c r="F397" s="139">
        <f>IFERROR(VLOOKUP($A397,[3]P.O.!$A:$J,6,),"")</f>
        <v>1.25</v>
      </c>
      <c r="G397" s="140">
        <f>IFERROR(VLOOKUP($A397,[3]P.O.!$A:$J,7,),"")</f>
        <v>240.6</v>
      </c>
      <c r="H397" s="140">
        <f>IFERROR(VLOOKUP($A397,[3]P.O.!$A:$J,8,),"")</f>
        <v>300.75</v>
      </c>
      <c r="I397" s="140">
        <f>IFERROR(VLOOKUP($A397,[3]P.O.!$A:$J,9,),"")</f>
        <v>375.94</v>
      </c>
      <c r="J397" s="159">
        <f t="shared" si="49"/>
        <v>1.7689908227801524E-4</v>
      </c>
      <c r="K397" s="145">
        <f>IFERROR(VLOOKUP($A397,[3]P.O.!$A:$J,10,),"")</f>
        <v>0.25</v>
      </c>
      <c r="L397" s="265"/>
    </row>
    <row r="398" spans="1:12" s="232" customFormat="1">
      <c r="A398" s="76" t="s">
        <v>425</v>
      </c>
      <c r="B398" s="77" t="str">
        <f>IFERROR(VLOOKUP($A398,[3]P.O.!$A:$J,2,),"")</f>
        <v>15566/001</v>
      </c>
      <c r="C398" s="77" t="str">
        <f>IFERROR(VLOOKUP($A398,[3]P.O.!$A:$J,3,),"")</f>
        <v>SINAPI EMLURB</v>
      </c>
      <c r="D398" s="78" t="str">
        <f>IFERROR(VLOOKUP($A398,[3]P.O.!$A:$J,4,),"")</f>
        <v>FERRO CA-50</v>
      </c>
      <c r="E398" s="91" t="str">
        <f>IFERROR(VLOOKUP($A398,[3]P.O.!$A:$J,5,),"")</f>
        <v>KG</v>
      </c>
      <c r="F398" s="139">
        <f>IFERROR(VLOOKUP($A398,[3]P.O.!$A:$J,6,),"")</f>
        <v>42.248699999999999</v>
      </c>
      <c r="G398" s="140">
        <f>IFERROR(VLOOKUP($A398,[3]P.O.!$A:$J,7,),"")</f>
        <v>6.2</v>
      </c>
      <c r="H398" s="140">
        <f>IFERROR(VLOOKUP($A398,[3]P.O.!$A:$J,8,),"")</f>
        <v>7.75</v>
      </c>
      <c r="I398" s="140">
        <f>IFERROR(VLOOKUP($A398,[3]P.O.!$A:$J,9,),"")</f>
        <v>327.43</v>
      </c>
      <c r="J398" s="159">
        <f t="shared" si="49"/>
        <v>1.5407263528831869E-4</v>
      </c>
      <c r="K398" s="145">
        <f>IFERROR(VLOOKUP($A398,[3]P.O.!$A:$J,10,),"")</f>
        <v>0.25</v>
      </c>
      <c r="L398" s="265"/>
    </row>
    <row r="399" spans="1:12" s="232" customFormat="1">
      <c r="A399" s="76" t="s">
        <v>426</v>
      </c>
      <c r="B399" s="77" t="str">
        <f>IFERROR(VLOOKUP($A399,[3]P.O.!$A:$J,2,),"")</f>
        <v>15566/002</v>
      </c>
      <c r="C399" s="77" t="str">
        <f>IFERROR(VLOOKUP($A399,[3]P.O.!$A:$J,3,),"")</f>
        <v>SINAPI EMLURB</v>
      </c>
      <c r="D399" s="78" t="str">
        <f>IFERROR(VLOOKUP($A399,[3]P.O.!$A:$J,4,),"")</f>
        <v>FERRO CA-60</v>
      </c>
      <c r="E399" s="91" t="str">
        <f>IFERROR(VLOOKUP($A399,[3]P.O.!$A:$J,5,),"")</f>
        <v>KG</v>
      </c>
      <c r="F399" s="139">
        <f>IFERROR(VLOOKUP($A399,[3]P.O.!$A:$J,6,),"")</f>
        <v>19.075500000000002</v>
      </c>
      <c r="G399" s="140">
        <f>IFERROR(VLOOKUP($A399,[3]P.O.!$A:$J,7,),"")</f>
        <v>6.26</v>
      </c>
      <c r="H399" s="140">
        <f>IFERROR(VLOOKUP($A399,[3]P.O.!$A:$J,8,),"")</f>
        <v>7.83</v>
      </c>
      <c r="I399" s="140">
        <f>IFERROR(VLOOKUP($A399,[3]P.O.!$A:$J,9,),"")</f>
        <v>149.36000000000001</v>
      </c>
      <c r="J399" s="159">
        <f t="shared" si="49"/>
        <v>7.0281552718636905E-5</v>
      </c>
      <c r="K399" s="145">
        <f>IFERROR(VLOOKUP($A399,[3]P.O.!$A:$J,10,),"")</f>
        <v>0.25</v>
      </c>
      <c r="L399" s="265"/>
    </row>
    <row r="400" spans="1:12" s="232" customFormat="1" ht="33">
      <c r="A400" s="76" t="s">
        <v>427</v>
      </c>
      <c r="B400" s="77" t="str">
        <f>IFERROR(VLOOKUP($A400,[3]P.O.!$A:$J,2,),"")</f>
        <v>COMPS21002</v>
      </c>
      <c r="C400" s="77" t="str">
        <f>IFERROR(VLOOKUP($A400,[3]P.O.!$A:$J,3,),"")</f>
        <v>COMPOSIÇÃO</v>
      </c>
      <c r="D400" s="78" t="str">
        <f>IFERROR(VLOOKUP($A400,[3]P.O.!$A:$J,4,),"")</f>
        <v>ARMAÇÃO EM TELA DE ACO SOLDADA CA-60, Q-196 (3,11 KG/M2), DIAMETRO DO FIO = 5,00 MM, LARGURA = 2,45 M,ESPACAMENTO = 10 X 10 CM</v>
      </c>
      <c r="E400" s="91" t="str">
        <f>IFERROR(VLOOKUP($A400,[3]P.O.!$A:$J,5,),"")</f>
        <v>KG</v>
      </c>
      <c r="F400" s="139">
        <f>IFERROR(VLOOKUP($A400,[3]P.O.!$A:$J,6,),"")</f>
        <v>77.75</v>
      </c>
      <c r="G400" s="140">
        <f>IFERROR(VLOOKUP($A400,[3]P.O.!$A:$J,7,),"")</f>
        <v>7.92</v>
      </c>
      <c r="H400" s="140">
        <f>IFERROR(VLOOKUP($A400,[3]P.O.!$A:$J,8,),"")</f>
        <v>9.9</v>
      </c>
      <c r="I400" s="140">
        <f>IFERROR(VLOOKUP($A400,[3]P.O.!$A:$J,9,),"")</f>
        <v>769.73</v>
      </c>
      <c r="J400" s="159">
        <f t="shared" si="49"/>
        <v>3.6219750652193613E-4</v>
      </c>
      <c r="K400" s="145">
        <f>IFERROR(VLOOKUP($A400,[3]P.O.!$A:$J,10,),"")</f>
        <v>0.25</v>
      </c>
      <c r="L400" s="265"/>
    </row>
    <row r="401" spans="1:16" s="232" customFormat="1" ht="66">
      <c r="A401" s="76" t="s">
        <v>428</v>
      </c>
      <c r="B401" s="77" t="str">
        <f>IFERROR(VLOOKUP($A401,[3]P.O.!$A:$J,2,),"")</f>
        <v>COTSV21001</v>
      </c>
      <c r="C401" s="77" t="str">
        <f>IFERROR(VLOOKUP($A401,[3]P.O.!$A:$J,3,),"")</f>
        <v>COTAÇÃO</v>
      </c>
      <c r="D401" s="78" t="str">
        <f>IFERROR(VLOOKUP($A401,[3]P.O.!$A:$J,4,),"")</f>
        <v>FORNECIMENTO E MONTAGEM DE ESTRUTURA METALICA DOS QUIOSQUES, COMPOSTO POR: 2XCR (150X75X25X#6,35), CHAPA LISA #1/4", CHAPA LISA #3/8", BARRA REDONDA Ø3/8"(CHUMBADORES), PERFIL TUBULAR Ø 152 X #4,75, E DEMAIS ELEMENTOS NECESSÁRIOS A SUA EXECUÇÃO</v>
      </c>
      <c r="E401" s="91" t="str">
        <f>IFERROR(VLOOKUP($A401,[3]P.O.!$A:$J,5,),"")</f>
        <v>KG</v>
      </c>
      <c r="F401" s="139">
        <f>IFERROR(VLOOKUP($A401,[3]P.O.!$A:$J,6,),"")</f>
        <v>891.49149999999997</v>
      </c>
      <c r="G401" s="140">
        <f>IFERROR(VLOOKUP($A401,[3]P.O.!$A:$J,7,),"")</f>
        <v>13.363905359928999</v>
      </c>
      <c r="H401" s="140">
        <f>IFERROR(VLOOKUP($A401,[3]P.O.!$A:$J,8,),"")</f>
        <v>15.61</v>
      </c>
      <c r="I401" s="140">
        <f>IFERROR(VLOOKUP($A401,[3]P.O.!$A:$J,9,),"")</f>
        <v>13916.18</v>
      </c>
      <c r="J401" s="159">
        <f t="shared" si="49"/>
        <v>6.5482775730586534E-3</v>
      </c>
      <c r="K401" s="145">
        <f>IFERROR(VLOOKUP($A401,[3]P.O.!$A:$J,10,),"")</f>
        <v>0.16800000000000001</v>
      </c>
      <c r="L401" s="265"/>
    </row>
    <row r="402" spans="1:16" s="232" customFormat="1">
      <c r="A402" s="76" t="s">
        <v>429</v>
      </c>
      <c r="B402" s="77" t="str">
        <f>IFERROR(VLOOKUP($A402,[3]P.O.!$A:$J,2,),"")</f>
        <v>COMPS21003</v>
      </c>
      <c r="C402" s="77" t="str">
        <f>IFERROR(VLOOKUP($A402,[3]P.O.!$A:$J,3,),"")</f>
        <v>COMPOSIÇÃO</v>
      </c>
      <c r="D402" s="78" t="str">
        <f>IFERROR(VLOOKUP($A402,[3]P.O.!$A:$J,4,),"")</f>
        <v>PINTURA DE FUNDO EM PRIMER ACRÍLICO, EM DUAS DEMÃOS, ESPESSURA POR DEMÃO (40µM).</v>
      </c>
      <c r="E402" s="91" t="str">
        <f>IFERROR(VLOOKUP($A402,[3]P.O.!$A:$J,5,),"")</f>
        <v>M2</v>
      </c>
      <c r="F402" s="139">
        <f>IFERROR(VLOOKUP($A402,[3]P.O.!$A:$J,6,),"")</f>
        <v>32.400000000000006</v>
      </c>
      <c r="G402" s="140">
        <f>IFERROR(VLOOKUP($A402,[3]P.O.!$A:$J,7,),"")</f>
        <v>12.14</v>
      </c>
      <c r="H402" s="140">
        <f>IFERROR(VLOOKUP($A402,[3]P.O.!$A:$J,8,),"")</f>
        <v>15.18</v>
      </c>
      <c r="I402" s="140">
        <f>IFERROR(VLOOKUP($A402,[3]P.O.!$A:$J,9,),"")</f>
        <v>491.83</v>
      </c>
      <c r="J402" s="159">
        <f t="shared" si="49"/>
        <v>2.314312806213657E-4</v>
      </c>
      <c r="K402" s="145">
        <f>IFERROR(VLOOKUP($A402,[3]P.O.!$A:$J,10,),"")</f>
        <v>0.25</v>
      </c>
      <c r="L402" s="265"/>
    </row>
    <row r="403" spans="1:16" s="232" customFormat="1" ht="33">
      <c r="A403" s="76" t="s">
        <v>430</v>
      </c>
      <c r="B403" s="77" t="str">
        <f>IFERROR(VLOOKUP($A403,[3]P.O.!$A:$J,2,),"")</f>
        <v>COMPS21004</v>
      </c>
      <c r="C403" s="77" t="str">
        <f>IFERROR(VLOOKUP($A403,[3]P.O.!$A:$J,3,),"")</f>
        <v>COMPOSIÇÃO</v>
      </c>
      <c r="D403" s="78" t="str">
        <f>IFERROR(VLOOKUP($A403,[3]P.O.!$A:$J,4,),"")</f>
        <v xml:space="preserve">PINTURA DE ACABAMENTO EM ESMALTE ACRÍLICO, EM DUAS DEMÃOS, ESPESSURA POR DEMÃO (50µM), CONFORME CORES ESPEFICICADAS EM PROJETO ARQUITETÔNICO. </v>
      </c>
      <c r="E403" s="91" t="str">
        <f>IFERROR(VLOOKUP($A403,[3]P.O.!$A:$J,5,),"")</f>
        <v>M2</v>
      </c>
      <c r="F403" s="139">
        <f>IFERROR(VLOOKUP($A403,[3]P.O.!$A:$J,6,),"")</f>
        <v>32.400000000000006</v>
      </c>
      <c r="G403" s="140">
        <f>IFERROR(VLOOKUP($A403,[3]P.O.!$A:$J,7,),"")</f>
        <v>25.11</v>
      </c>
      <c r="H403" s="140">
        <f>IFERROR(VLOOKUP($A403,[3]P.O.!$A:$J,8,),"")</f>
        <v>31.39</v>
      </c>
      <c r="I403" s="140">
        <f>IFERROR(VLOOKUP($A403,[3]P.O.!$A:$J,9,),"")</f>
        <v>1017.04</v>
      </c>
      <c r="J403" s="159">
        <f t="shared" si="49"/>
        <v>4.785695659946603E-4</v>
      </c>
      <c r="K403" s="145">
        <f>IFERROR(VLOOKUP($A403,[3]P.O.!$A:$J,10,),"")</f>
        <v>0.25</v>
      </c>
      <c r="L403" s="265"/>
    </row>
    <row r="404" spans="1:16" s="232" customFormat="1" ht="115.5">
      <c r="A404" s="76" t="s">
        <v>431</v>
      </c>
      <c r="B404" s="77" t="str">
        <f>IFERROR(VLOOKUP($A404,[3]P.O.!$A:$J,2,),"")</f>
        <v>COTSV21003</v>
      </c>
      <c r="C404" s="77" t="str">
        <f>IFERROR(VLOOKUP($A404,[3]P.O.!$A:$J,3,),"")</f>
        <v>COTAÇÃO</v>
      </c>
      <c r="D404" s="78" t="str">
        <f>IFERROR(VLOOKUP($A404,[3]P.O.!$A:$J,4,),"")</f>
        <v>FORNECIMENTO E MONTAGEM DE MEMBRANA EM TECIDO SINTÉTICO COM FIOS DE POLIÉSTER DE ALTA TENACIDADE, PRÉ TENSIONADOS, AMALGAMADOS EM PVC, FIAÇÃO 1100/1670 DTEX, PESO 1050 G/M2, ESPESSURA 0,78MM, RESISTÊNCIA 560/560 KGF/5 CM, RETARDANTE AO FOGO (NORMAS EUROPÉIAS CLASSE M1/NFP 92-507/B1-DIN4102-1), PELÍCULA ANTIADERENTE DE PARTÍCULAS, ALTA RESISTÊNCIA AOS RAIOS UV, GARANTIA 10 ANOS MARCA FERRARI PRECONTRAINT 1202.S2 - BRANCO TRANSLUCIDO, INCLUSIVE FERAGENS, FORNECIMENTO E INSTALAÇÃO.</v>
      </c>
      <c r="E404" s="91" t="str">
        <f>IFERROR(VLOOKUP($A404,[3]P.O.!$A:$J,5,),"")</f>
        <v>M2</v>
      </c>
      <c r="F404" s="139">
        <f>IFERROR(VLOOKUP($A404,[3]P.O.!$A:$J,6,),"")</f>
        <v>48</v>
      </c>
      <c r="G404" s="140">
        <f>IFERROR(VLOOKUP($A404,[3]P.O.!$A:$J,7,),"")</f>
        <v>2030.3520129708897</v>
      </c>
      <c r="H404" s="140">
        <f>IFERROR(VLOOKUP($A404,[3]P.O.!$A:$J,8,),"")</f>
        <v>2371.4499999999998</v>
      </c>
      <c r="I404" s="140">
        <f>IFERROR(VLOOKUP($A404,[3]P.O.!$A:$J,9,),"")</f>
        <v>113829.6</v>
      </c>
      <c r="J404" s="159">
        <f t="shared" si="49"/>
        <v>5.3562674299285962E-2</v>
      </c>
      <c r="K404" s="266">
        <f>IFERROR(VLOOKUP($A404,[3]P.O.!$A:$J,10,),"")</f>
        <v>0.16800000000000001</v>
      </c>
      <c r="L404" s="265"/>
    </row>
    <row r="405" spans="1:16" s="232" customFormat="1">
      <c r="A405" s="76"/>
      <c r="B405" s="77"/>
      <c r="C405" s="77"/>
      <c r="D405" s="78"/>
      <c r="E405" s="91"/>
      <c r="F405" s="139"/>
      <c r="G405" s="140"/>
      <c r="H405" s="140"/>
      <c r="I405" s="140"/>
      <c r="J405" s="159"/>
      <c r="K405" s="141"/>
    </row>
    <row r="406" spans="1:16" s="231" customFormat="1">
      <c r="A406" s="6" t="s">
        <v>432</v>
      </c>
      <c r="B406" s="25"/>
      <c r="C406" s="25"/>
      <c r="D406" s="32" t="str">
        <f>IFERROR(VLOOKUP($A406,[3]P.O.!$A:$J,4,),"")</f>
        <v>LANTERNIM</v>
      </c>
      <c r="E406" s="135"/>
      <c r="F406" s="136"/>
      <c r="G406" s="137"/>
      <c r="H406" s="137"/>
      <c r="I406" s="137">
        <f>SUM(I407:I410)</f>
        <v>1969.24</v>
      </c>
      <c r="J406" s="230">
        <f>IF(I406="","",I406/$E$777)</f>
        <v>9.2662858111708976E-4</v>
      </c>
      <c r="K406" s="138"/>
    </row>
    <row r="407" spans="1:16" s="232" customFormat="1">
      <c r="A407" s="76"/>
      <c r="B407" s="77"/>
      <c r="C407" s="77"/>
      <c r="D407" s="78"/>
      <c r="E407" s="91"/>
      <c r="F407" s="139"/>
      <c r="G407" s="140"/>
      <c r="H407" s="140"/>
      <c r="I407" s="140"/>
      <c r="J407" s="159"/>
      <c r="K407" s="141"/>
    </row>
    <row r="408" spans="1:16" s="232" customFormat="1" ht="49.5">
      <c r="A408" s="76" t="s">
        <v>433</v>
      </c>
      <c r="B408" s="77" t="str">
        <f>IFERROR(VLOOKUP($A408,[3]P.O.!$A:$J,2,),"")</f>
        <v>COTSV21002</v>
      </c>
      <c r="C408" s="77" t="str">
        <f>IFERROR(VLOOKUP($A408,[3]P.O.!$A:$J,3,),"")</f>
        <v>COTAÇÃO</v>
      </c>
      <c r="D408" s="78" t="str">
        <f>IFERROR(VLOOKUP($A408,[3]P.O.!$A:$J,4,),"")</f>
        <v>FORNECIMENTO E MONTAGEM DE ESTRUTURA METALICA DO LANTERMIN COMPOSTO POR: PERFIL TUBULAR RETANGULAR 40 X 60 X #3, E DEMAIS ELEMENTOS NECESSÁRIOS A SUA EXECUÇÃO</v>
      </c>
      <c r="E408" s="91" t="str">
        <f>IFERROR(VLOOKUP($A408,[3]P.O.!$A:$J,5,),"")</f>
        <v>KG</v>
      </c>
      <c r="F408" s="139">
        <f>IFERROR(VLOOKUP($A408,[3]P.O.!$A:$J,6,),"")</f>
        <v>124.03999999999999</v>
      </c>
      <c r="G408" s="140">
        <f>IFERROR(VLOOKUP($A408,[3]P.O.!$A:$J,7,),"")</f>
        <v>13.363905359928999</v>
      </c>
      <c r="H408" s="140">
        <f>IFERROR(VLOOKUP($A408,[3]P.O.!$A:$J,8,),"")</f>
        <v>15.61</v>
      </c>
      <c r="I408" s="140">
        <f>IFERROR(VLOOKUP($A408,[3]P.O.!$A:$J,9,),"")</f>
        <v>1936.26</v>
      </c>
      <c r="J408" s="159">
        <f t="shared" ref="J408:J409" si="50">IF(I408="","",I408/$E$777)</f>
        <v>9.1110979691341645E-4</v>
      </c>
      <c r="K408" s="266">
        <f>IFERROR(VLOOKUP($A408,[3]P.O.!$A:$J,10,),"")</f>
        <v>0.16800000000000001</v>
      </c>
      <c r="L408" s="265"/>
      <c r="M408" s="267"/>
      <c r="N408" s="267"/>
      <c r="O408" s="268"/>
      <c r="P408" s="269"/>
    </row>
    <row r="409" spans="1:16" s="232" customFormat="1">
      <c r="A409" s="76" t="s">
        <v>434</v>
      </c>
      <c r="B409" s="77" t="str">
        <f>IFERROR(VLOOKUP($A409,[3]P.O.!$A:$J,2,),"")</f>
        <v>COMPS21005</v>
      </c>
      <c r="C409" s="77" t="str">
        <f>IFERROR(VLOOKUP($A409,[3]P.O.!$A:$J,3,),"")</f>
        <v>COMPOSIÇÃO</v>
      </c>
      <c r="D409" s="78" t="str">
        <f>IFERROR(VLOOKUP($A409,[3]P.O.!$A:$J,4,),"")</f>
        <v>PINTURA DE FUNDO EM ZARCÃO, EM DUAS DEMÃOS, ESPESSURA POR DEMÃO (40µM).</v>
      </c>
      <c r="E409" s="91" t="str">
        <f>IFERROR(VLOOKUP($A409,[3]P.O.!$A:$J,5,),"")</f>
        <v>M2</v>
      </c>
      <c r="F409" s="139">
        <f>IFERROR(VLOOKUP($A409,[3]P.O.!$A:$J,6,),"")</f>
        <v>5.6000000000000005</v>
      </c>
      <c r="G409" s="140">
        <f>IFERROR(VLOOKUP($A409,[3]P.O.!$A:$J,7,),"")</f>
        <v>4.71</v>
      </c>
      <c r="H409" s="140">
        <f>IFERROR(VLOOKUP($A409,[3]P.O.!$A:$J,8,),"")</f>
        <v>5.89</v>
      </c>
      <c r="I409" s="140">
        <f>IFERROR(VLOOKUP($A409,[3]P.O.!$A:$J,9,),"")</f>
        <v>32.979999999999997</v>
      </c>
      <c r="J409" s="159">
        <f t="shared" si="50"/>
        <v>1.5518784203673305E-5</v>
      </c>
      <c r="K409" s="266">
        <f>IFERROR(VLOOKUP($A409,[3]P.O.!$A:$J,10,),"")</f>
        <v>0.25</v>
      </c>
      <c r="L409" s="265"/>
    </row>
    <row r="410" spans="1:16" s="232" customFormat="1">
      <c r="A410" s="76"/>
      <c r="B410" s="77"/>
      <c r="C410" s="77"/>
      <c r="D410" s="78"/>
      <c r="E410" s="91"/>
      <c r="F410" s="139"/>
      <c r="G410" s="140"/>
      <c r="H410" s="140"/>
      <c r="I410" s="140"/>
      <c r="J410" s="159"/>
      <c r="K410" s="141"/>
    </row>
    <row r="411" spans="1:16" s="231" customFormat="1">
      <c r="A411" s="6" t="s">
        <v>435</v>
      </c>
      <c r="B411" s="25"/>
      <c r="C411" s="25"/>
      <c r="D411" s="32" t="str">
        <f>IFERROR(VLOOKUP($A411,[3]P.O.!$A:$J,4,),"")</f>
        <v>COBERTA METÁLICA</v>
      </c>
      <c r="E411" s="135"/>
      <c r="F411" s="136"/>
      <c r="G411" s="137"/>
      <c r="H411" s="137"/>
      <c r="I411" s="137">
        <f>SUM(I412:I417)</f>
        <v>35101.769999999997</v>
      </c>
      <c r="J411" s="230">
        <f>IF(I411="","",I411/$E$777)</f>
        <v>1.6517185985353955E-2</v>
      </c>
      <c r="K411" s="138"/>
    </row>
    <row r="412" spans="1:16" s="232" customFormat="1">
      <c r="A412" s="76"/>
      <c r="B412" s="77"/>
      <c r="C412" s="77"/>
      <c r="D412" s="78"/>
      <c r="E412" s="91"/>
      <c r="F412" s="139"/>
      <c r="G412" s="140"/>
      <c r="H412" s="140"/>
      <c r="I412" s="140"/>
      <c r="J412" s="159"/>
      <c r="K412" s="141"/>
    </row>
    <row r="413" spans="1:16" s="232" customFormat="1" ht="49.5">
      <c r="A413" s="76" t="s">
        <v>436</v>
      </c>
      <c r="B413" s="77" t="str">
        <f>IFERROR(VLOOKUP($A413,[3]P.O.!$A:$J,2,),"")</f>
        <v>COTSV21004</v>
      </c>
      <c r="C413" s="77" t="str">
        <f>IFERROR(VLOOKUP($A413,[3]P.O.!$A:$J,3,),"")</f>
        <v>COTAÇÃO</v>
      </c>
      <c r="D413" s="78" t="str">
        <f>IFERROR(VLOOKUP($A413,[3]P.O.!$A:$J,4,),"")</f>
        <v>FORNECIMENTO E MONTAGEM DE ESTRUTURA METALICA DO COBERTA METÁLICA COMPOSTO POR: PERFIL "U" DOBRADO DE CHAPA ENRIJECIDO UE125X50X25X4,75MM, PERFIL "L" 50X50X6,35 E DEMAIS ELEMENTOS NECESSÁRIOS A SUA EXECUÇÃO</v>
      </c>
      <c r="E413" s="91" t="str">
        <f>IFERROR(VLOOKUP($A413,[3]P.O.!$A:$J,5,),"")</f>
        <v>KG</v>
      </c>
      <c r="F413" s="139">
        <f>IFERROR(VLOOKUP($A413,[3]P.O.!$A:$J,6,),"")</f>
        <v>1500.45</v>
      </c>
      <c r="G413" s="140">
        <f>IFERROR(VLOOKUP($A413,[3]P.O.!$A:$J,7,),"")</f>
        <v>13.363905359928999</v>
      </c>
      <c r="H413" s="140">
        <f>IFERROR(VLOOKUP($A413,[3]P.O.!$A:$J,8,),"")</f>
        <v>15.61</v>
      </c>
      <c r="I413" s="140">
        <f>IFERROR(VLOOKUP($A413,[3]P.O.!$A:$J,9,),"")</f>
        <v>23422.02</v>
      </c>
      <c r="J413" s="159">
        <f t="shared" ref="J413:J415" si="51">IF(I413="","",I413/$E$777)</f>
        <v>1.1021263614133421E-2</v>
      </c>
      <c r="K413" s="266">
        <f>IFERROR(VLOOKUP($A413,[3]P.O.!$A:$J,10,),"")</f>
        <v>0.16800000000000001</v>
      </c>
      <c r="L413" s="265"/>
    </row>
    <row r="414" spans="1:16" s="232" customFormat="1">
      <c r="A414" s="76" t="s">
        <v>437</v>
      </c>
      <c r="B414" s="77" t="str">
        <f>IFERROR(VLOOKUP($A414,[3]P.O.!$A:$J,2,),"")</f>
        <v>COMPS21003</v>
      </c>
      <c r="C414" s="77" t="str">
        <f>IFERROR(VLOOKUP($A414,[3]P.O.!$A:$J,3,),"")</f>
        <v>COMPOSIÇÃO</v>
      </c>
      <c r="D414" s="78" t="str">
        <f>IFERROR(VLOOKUP($A414,[3]P.O.!$A:$J,4,),"")</f>
        <v>PINTURA DE FUNDO EM PRIMER ACRÍLICO, EM DUAS DEMÃOS, ESPESSURA POR DEMÃO (40µM).</v>
      </c>
      <c r="E414" s="91" t="str">
        <f>IFERROR(VLOOKUP($A414,[3]P.O.!$A:$J,5,),"")</f>
        <v>M2</v>
      </c>
      <c r="F414" s="139">
        <f>IFERROR(VLOOKUP($A414,[3]P.O.!$A:$J,6,),"")</f>
        <v>250.8</v>
      </c>
      <c r="G414" s="140">
        <f>IFERROR(VLOOKUP($A414,[3]P.O.!$A:$J,7,),"")</f>
        <v>12.14</v>
      </c>
      <c r="H414" s="140">
        <f>IFERROR(VLOOKUP($A414,[3]P.O.!$A:$J,8,),"")</f>
        <v>15.18</v>
      </c>
      <c r="I414" s="140">
        <f>IFERROR(VLOOKUP($A414,[3]P.O.!$A:$J,9,),"")</f>
        <v>3807.14</v>
      </c>
      <c r="J414" s="159">
        <f t="shared" si="51"/>
        <v>1.7914549452144567E-3</v>
      </c>
      <c r="K414" s="145">
        <f>IFERROR(VLOOKUP($A414,[3]P.O.!$A:$J,10,),"")</f>
        <v>0.25</v>
      </c>
      <c r="L414" s="265"/>
    </row>
    <row r="415" spans="1:16" s="232" customFormat="1" ht="33">
      <c r="A415" s="76" t="s">
        <v>438</v>
      </c>
      <c r="B415" s="77" t="str">
        <f>IFERROR(VLOOKUP($A415,[3]P.O.!$A:$J,2,),"")</f>
        <v>COMPS21004</v>
      </c>
      <c r="C415" s="77" t="str">
        <f>IFERROR(VLOOKUP($A415,[3]P.O.!$A:$J,3,),"")</f>
        <v>COMPOSIÇÃO</v>
      </c>
      <c r="D415" s="78" t="str">
        <f>IFERROR(VLOOKUP($A415,[3]P.O.!$A:$J,4,),"")</f>
        <v xml:space="preserve">PINTURA DE ACABAMENTO EM ESMALTE ACRÍLICO, EM DUAS DEMÃOS, ESPESSURA POR DEMÃO (50µM), CONFORME CORES ESPEFICICADAS EM PROJETO ARQUITETÔNICO. </v>
      </c>
      <c r="E415" s="91" t="str">
        <f>IFERROR(VLOOKUP($A415,[3]P.O.!$A:$J,5,),"")</f>
        <v>M2</v>
      </c>
      <c r="F415" s="139">
        <f>IFERROR(VLOOKUP($A415,[3]P.O.!$A:$J,6,),"")</f>
        <v>250.8</v>
      </c>
      <c r="G415" s="140">
        <f>IFERROR(VLOOKUP($A415,[3]P.O.!$A:$J,7,),"")</f>
        <v>25.11</v>
      </c>
      <c r="H415" s="140">
        <f>IFERROR(VLOOKUP($A415,[3]P.O.!$A:$J,8,),"")</f>
        <v>31.39</v>
      </c>
      <c r="I415" s="140">
        <f>IFERROR(VLOOKUP($A415,[3]P.O.!$A:$J,9,),"")</f>
        <v>7872.61</v>
      </c>
      <c r="J415" s="159">
        <f t="shared" si="51"/>
        <v>3.7044674260060793E-3</v>
      </c>
      <c r="K415" s="145">
        <f>IFERROR(VLOOKUP($A415,[3]P.O.!$A:$J,10,),"")</f>
        <v>0.25</v>
      </c>
      <c r="L415" s="265"/>
    </row>
    <row r="416" spans="1:16" s="232" customFormat="1">
      <c r="A416" s="76"/>
      <c r="B416" s="77"/>
      <c r="C416" s="77"/>
      <c r="D416" s="78"/>
      <c r="E416" s="91"/>
      <c r="F416" s="139"/>
      <c r="G416" s="140"/>
      <c r="H416" s="140"/>
      <c r="I416" s="140"/>
      <c r="J416" s="159"/>
      <c r="K416" s="141"/>
    </row>
    <row r="417" spans="1:12" s="232" customFormat="1">
      <c r="A417" s="76"/>
      <c r="B417" s="77"/>
      <c r="C417" s="77"/>
      <c r="D417" s="78"/>
      <c r="E417" s="91"/>
      <c r="F417" s="139"/>
      <c r="G417" s="140"/>
      <c r="H417" s="140"/>
      <c r="I417" s="140"/>
      <c r="J417" s="159"/>
      <c r="K417" s="141"/>
    </row>
    <row r="418" spans="1:12" s="228" customFormat="1">
      <c r="A418" s="5" t="s">
        <v>78</v>
      </c>
      <c r="B418" s="24"/>
      <c r="C418" s="24"/>
      <c r="D418" s="31" t="s">
        <v>5</v>
      </c>
      <c r="E418" s="127"/>
      <c r="F418" s="128"/>
      <c r="G418" s="129"/>
      <c r="H418" s="129"/>
      <c r="I418" s="129">
        <f>I420+I495+I549</f>
        <v>293034.43</v>
      </c>
      <c r="J418" s="227">
        <f>IF(I418="","",I418/$E$777)</f>
        <v>0.13788775268090997</v>
      </c>
      <c r="K418" s="130"/>
    </row>
    <row r="419" spans="1:12" s="228" customFormat="1">
      <c r="A419" s="73"/>
      <c r="B419" s="74"/>
      <c r="C419" s="74"/>
      <c r="D419" s="75"/>
      <c r="E419" s="131"/>
      <c r="F419" s="132"/>
      <c r="G419" s="133"/>
      <c r="H419" s="133"/>
      <c r="I419" s="133"/>
      <c r="J419" s="229"/>
      <c r="K419" s="134"/>
    </row>
    <row r="420" spans="1:12" s="231" customFormat="1">
      <c r="A420" s="6" t="s">
        <v>79</v>
      </c>
      <c r="B420" s="25"/>
      <c r="C420" s="25"/>
      <c r="D420" s="32" t="str">
        <f>IFERROR(VLOOKUP($A420,[4]P.O.!$A:$J,4,),"")</f>
        <v>INST. ELÉTRICAS - BAIXA TENSÃO</v>
      </c>
      <c r="E420" s="135"/>
      <c r="F420" s="136"/>
      <c r="G420" s="137"/>
      <c r="H420" s="137"/>
      <c r="I420" s="137">
        <f>SUM(I421:I494)</f>
        <v>88206.86</v>
      </c>
      <c r="J420" s="230">
        <f>IF(I420="","",I420/$E$777)</f>
        <v>4.1505858872759933E-2</v>
      </c>
      <c r="K420" s="138"/>
    </row>
    <row r="421" spans="1:12" s="232" customFormat="1">
      <c r="A421" s="76"/>
      <c r="B421" s="77"/>
      <c r="C421" s="77"/>
      <c r="D421" s="78"/>
      <c r="E421" s="91"/>
      <c r="F421" s="139"/>
      <c r="G421" s="140"/>
      <c r="H421" s="140"/>
      <c r="I421" s="140"/>
      <c r="J421" s="159"/>
      <c r="K421" s="141"/>
    </row>
    <row r="422" spans="1:12" s="235" customFormat="1">
      <c r="A422" s="95" t="s">
        <v>80</v>
      </c>
      <c r="B422" s="110"/>
      <c r="C422" s="110"/>
      <c r="D422" s="97" t="str">
        <f>IFERROR(VLOOKUP($A422,[4]P.O.!$A:$J,4,),"")</f>
        <v>SISTEMA DE FORÇA / ALIMENTADORES</v>
      </c>
      <c r="E422" s="96"/>
      <c r="F422" s="163"/>
      <c r="G422" s="180"/>
      <c r="H422" s="180"/>
      <c r="I422" s="180"/>
      <c r="J422" s="165"/>
      <c r="K422" s="181"/>
    </row>
    <row r="423" spans="1:12" s="232" customFormat="1" ht="82.5">
      <c r="A423" s="76" t="s">
        <v>81</v>
      </c>
      <c r="B423" s="77" t="str">
        <f>IFERROR(VLOOKUP($A423,[4]P.O.!$A:$J,2,),"")</f>
        <v>COMPS30001</v>
      </c>
      <c r="C423" s="77" t="str">
        <f>IFERROR(VLOOKUP($A423,[4]P.O.!$A:$J,3,),"")</f>
        <v>COMPOSIÇÃO</v>
      </c>
      <c r="D423" s="78" t="str">
        <f>IFERROR(VLOOKUP($A423,[4]P.O.!$A:$J,4,),"")</f>
        <v>FORNECIMENTO E INSTALAÇÃO DE CABO TETRAPOLAR ISOLADO PARA TENSÕES DE 1kV, SEÇÃO NOMINAL 4 X 6mm²,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
      <c r="E423" s="91" t="str">
        <f>IFERROR(VLOOKUP($A423,[4]P.O.!$A:$J,5,),"")</f>
        <v>M</v>
      </c>
      <c r="F423" s="139">
        <f>IFERROR(VLOOKUP($A423,[4]P.O.!$A:$J,6,),"")</f>
        <v>25</v>
      </c>
      <c r="G423" s="140">
        <f>IFERROR(VLOOKUP($A423,[4]P.O.!$A:$J,7,),"")</f>
        <v>13.37</v>
      </c>
      <c r="H423" s="140">
        <f>IFERROR(VLOOKUP($A423,[4]P.O.!$A:$J,8,),"")</f>
        <v>16.71</v>
      </c>
      <c r="I423" s="140">
        <f>IFERROR(VLOOKUP($A423,[4]P.O.!$A:$J,9,),"")</f>
        <v>417.75</v>
      </c>
      <c r="J423" s="159">
        <f t="shared" ref="J423:J447" si="52">IF(I423="","",I423/$E$777)</f>
        <v>1.9657283508443067E-4</v>
      </c>
      <c r="K423" s="145">
        <f>IFERROR(VLOOKUP($A423,[4]P.O.!$A:$J,10,),"")</f>
        <v>0.25</v>
      </c>
      <c r="L423" s="265"/>
    </row>
    <row r="424" spans="1:12" s="232" customFormat="1" ht="33">
      <c r="A424" s="76" t="s">
        <v>82</v>
      </c>
      <c r="B424" s="77">
        <f>IFERROR(VLOOKUP($A424,[4]P.O.!$A:$J,2,),"")</f>
        <v>83419</v>
      </c>
      <c r="C424" s="77" t="str">
        <f>IFERROR(VLOOKUP($A424,[4]P.O.!$A:$J,3,),"")</f>
        <v>SINAPI SERVIÇO</v>
      </c>
      <c r="D424" s="78" t="str">
        <f>IFERROR(VLOOKUP($A424,[4]P.O.!$A:$J,4,),"")</f>
        <v>CABO DE COBRE ISOLAMENTO TERMOPLASTICO 0,6/1KV 6MM2 ANTI-CHAMA - FORNE   CIMENTO E INSTALACAO</v>
      </c>
      <c r="E424" s="91" t="str">
        <f>IFERROR(VLOOKUP($A424,[4]P.O.!$A:$J,5,),"")</f>
        <v>M</v>
      </c>
      <c r="F424" s="139">
        <f>IFERROR(VLOOKUP($A424,[4]P.O.!$A:$J,6,),"")</f>
        <v>25</v>
      </c>
      <c r="G424" s="140">
        <f>IFERROR(VLOOKUP($A424,[4]P.O.!$A:$J,7,),"")</f>
        <v>6.09</v>
      </c>
      <c r="H424" s="140">
        <f>IFERROR(VLOOKUP($A424,[4]P.O.!$A:$J,8,),"")</f>
        <v>7.61</v>
      </c>
      <c r="I424" s="140">
        <f>IFERROR(VLOOKUP($A424,[4]P.O.!$A:$J,9,),"")</f>
        <v>190.25</v>
      </c>
      <c r="J424" s="159">
        <f t="shared" si="52"/>
        <v>8.9522398264064469E-5</v>
      </c>
      <c r="K424" s="145">
        <f>IFERROR(VLOOKUP($A424,[4]P.O.!$A:$J,10,),"")</f>
        <v>0.25</v>
      </c>
      <c r="L424" s="265"/>
    </row>
    <row r="425" spans="1:12" s="232" customFormat="1" ht="82.5">
      <c r="A425" s="76" t="s">
        <v>83</v>
      </c>
      <c r="B425" s="77" t="str">
        <f>IFERROR(VLOOKUP($A425,[4]P.O.!$A:$J,2,),"")</f>
        <v>COMPS30002</v>
      </c>
      <c r="C425" s="77" t="str">
        <f>IFERROR(VLOOKUP($A425,[4]P.O.!$A:$J,3,),"")</f>
        <v>COMPOSIÇÃO</v>
      </c>
      <c r="D425" s="78" t="str">
        <f>IFERROR(VLOOKUP($A425,[4]P.O.!$A:$J,4,),"")</f>
        <v>FORNECIMENTO E INSTALAÇÃO DE CABO TETRAPOLAR ISOLADO PARA TENSÕES DE 1kV, SEÇÃO NOMINAL 4 X 10mm²,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
      <c r="E425" s="91" t="str">
        <f>IFERROR(VLOOKUP($A425,[4]P.O.!$A:$J,5,),"")</f>
        <v>M</v>
      </c>
      <c r="F425" s="139">
        <f>IFERROR(VLOOKUP($A425,[4]P.O.!$A:$J,6,),"")</f>
        <v>25</v>
      </c>
      <c r="G425" s="140">
        <f>IFERROR(VLOOKUP($A425,[4]P.O.!$A:$J,7,),"")</f>
        <v>24.16</v>
      </c>
      <c r="H425" s="140">
        <f>IFERROR(VLOOKUP($A425,[4]P.O.!$A:$J,8,),"")</f>
        <v>30.2</v>
      </c>
      <c r="I425" s="140">
        <f>IFERROR(VLOOKUP($A425,[4]P.O.!$A:$J,9,),"")</f>
        <v>755</v>
      </c>
      <c r="J425" s="159">
        <f t="shared" si="52"/>
        <v>3.5526628483242405E-4</v>
      </c>
      <c r="K425" s="145">
        <f>IFERROR(VLOOKUP($A425,[4]P.O.!$A:$J,10,),"")</f>
        <v>0.25</v>
      </c>
      <c r="L425" s="265"/>
    </row>
    <row r="426" spans="1:12" s="232" customFormat="1" ht="33">
      <c r="A426" s="76" t="s">
        <v>84</v>
      </c>
      <c r="B426" s="77">
        <f>IFERROR(VLOOKUP($A426,[4]P.O.!$A:$J,2,),"")</f>
        <v>83420</v>
      </c>
      <c r="C426" s="77" t="str">
        <f>IFERROR(VLOOKUP($A426,[4]P.O.!$A:$J,3,),"")</f>
        <v>SINAPI SERVIÇO</v>
      </c>
      <c r="D426" s="78" t="str">
        <f>IFERROR(VLOOKUP($A426,[4]P.O.!$A:$J,4,),"")</f>
        <v>CABO DE COBRE ISOLAMENTO TERMOPLASTICO 0,6/1KV 10MM2 ANTI-CHAMA - FORN   ECIMENTO E INSTALACAO</v>
      </c>
      <c r="E426" s="91" t="str">
        <f>IFERROR(VLOOKUP($A426,[4]P.O.!$A:$J,5,),"")</f>
        <v>M</v>
      </c>
      <c r="F426" s="139">
        <f>IFERROR(VLOOKUP($A426,[4]P.O.!$A:$J,6,),"")</f>
        <v>25</v>
      </c>
      <c r="G426" s="140">
        <f>IFERROR(VLOOKUP($A426,[4]P.O.!$A:$J,7,),"")</f>
        <v>8.6</v>
      </c>
      <c r="H426" s="140">
        <f>IFERROR(VLOOKUP($A426,[4]P.O.!$A:$J,8,),"")</f>
        <v>10.75</v>
      </c>
      <c r="I426" s="140">
        <f>IFERROR(VLOOKUP($A426,[4]P.O.!$A:$J,9,),"")</f>
        <v>268.75</v>
      </c>
      <c r="J426" s="159">
        <f t="shared" si="52"/>
        <v>1.264606808592238E-4</v>
      </c>
      <c r="K426" s="145">
        <f>IFERROR(VLOOKUP($A426,[4]P.O.!$A:$J,10,),"")</f>
        <v>0.25</v>
      </c>
      <c r="L426" s="265"/>
    </row>
    <row r="427" spans="1:12" s="232" customFormat="1" ht="82.5">
      <c r="A427" s="76" t="s">
        <v>85</v>
      </c>
      <c r="B427" s="77" t="str">
        <f>IFERROR(VLOOKUP($A427,[4]P.O.!$A:$J,2,),"")</f>
        <v>COMPS30003</v>
      </c>
      <c r="C427" s="77" t="str">
        <f>IFERROR(VLOOKUP($A427,[4]P.O.!$A:$J,3,),"")</f>
        <v>COMPOSIÇÃO</v>
      </c>
      <c r="D427" s="78" t="str">
        <f>IFERROR(VLOOKUP($A427,[4]P.O.!$A:$J,4,),"")</f>
        <v>FORNECIMENTO E INSTALAÇÃO DE CABO TETRAPOLAR ISOLADO PARA TENSÕES DE 1kV, SEÇÃO NOMINAL 4 X 16mm²,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
      <c r="E427" s="91" t="str">
        <f>IFERROR(VLOOKUP($A427,[4]P.O.!$A:$J,5,),"")</f>
        <v>M</v>
      </c>
      <c r="F427" s="139">
        <f>IFERROR(VLOOKUP($A427,[4]P.O.!$A:$J,6,),"")</f>
        <v>40</v>
      </c>
      <c r="G427" s="140">
        <f>IFERROR(VLOOKUP($A427,[4]P.O.!$A:$J,7,),"")</f>
        <v>35.39</v>
      </c>
      <c r="H427" s="140">
        <f>IFERROR(VLOOKUP($A427,[4]P.O.!$A:$J,8,),"")</f>
        <v>44.24</v>
      </c>
      <c r="I427" s="140">
        <f>IFERROR(VLOOKUP($A427,[4]P.O.!$A:$J,9,),"")</f>
        <v>1769.6</v>
      </c>
      <c r="J427" s="159">
        <f t="shared" si="52"/>
        <v>8.3268770548272522E-4</v>
      </c>
      <c r="K427" s="145">
        <f>IFERROR(VLOOKUP($A427,[4]P.O.!$A:$J,10,),"")</f>
        <v>0.25</v>
      </c>
      <c r="L427" s="265"/>
    </row>
    <row r="428" spans="1:12" s="232" customFormat="1" ht="33">
      <c r="A428" s="76" t="s">
        <v>86</v>
      </c>
      <c r="B428" s="77">
        <f>IFERROR(VLOOKUP($A428,[4]P.O.!$A:$J,2,),"")</f>
        <v>83421</v>
      </c>
      <c r="C428" s="77" t="str">
        <f>IFERROR(VLOOKUP($A428,[4]P.O.!$A:$J,3,),"")</f>
        <v>SINAPI SERVIÇO</v>
      </c>
      <c r="D428" s="78" t="str">
        <f>IFERROR(VLOOKUP($A428,[4]P.O.!$A:$J,4,),"")</f>
        <v>CABO DE COBRE ISOLAMENTO TERMOPLASTICO 0,6/1KV 16MM2 ANTI-CHAMA - FORN   ECIMENTO E INSTALACAO</v>
      </c>
      <c r="E428" s="91" t="str">
        <f>IFERROR(VLOOKUP($A428,[4]P.O.!$A:$J,5,),"")</f>
        <v>M</v>
      </c>
      <c r="F428" s="139">
        <f>IFERROR(VLOOKUP($A428,[4]P.O.!$A:$J,6,),"")</f>
        <v>40</v>
      </c>
      <c r="G428" s="140">
        <f>IFERROR(VLOOKUP($A428,[4]P.O.!$A:$J,7,),"")</f>
        <v>12.09</v>
      </c>
      <c r="H428" s="140">
        <f>IFERROR(VLOOKUP($A428,[4]P.O.!$A:$J,8,),"")</f>
        <v>15.11</v>
      </c>
      <c r="I428" s="140">
        <f>IFERROR(VLOOKUP($A428,[4]P.O.!$A:$J,9,),"")</f>
        <v>604.4</v>
      </c>
      <c r="J428" s="159">
        <f t="shared" si="52"/>
        <v>2.844012484141948E-4</v>
      </c>
      <c r="K428" s="145">
        <f>IFERROR(VLOOKUP($A428,[4]P.O.!$A:$J,10,),"")</f>
        <v>0.25</v>
      </c>
      <c r="L428" s="265"/>
    </row>
    <row r="429" spans="1:12" s="232" customFormat="1" ht="82.5">
      <c r="A429" s="76" t="s">
        <v>87</v>
      </c>
      <c r="B429" s="77" t="str">
        <f>IFERROR(VLOOKUP($A429,[4]P.O.!$A:$J,2,),"")</f>
        <v>COMPS30004</v>
      </c>
      <c r="C429" s="77" t="str">
        <f>IFERROR(VLOOKUP($A429,[4]P.O.!$A:$J,3,),"")</f>
        <v>COMPOSIÇÃO</v>
      </c>
      <c r="D429" s="78" t="str">
        <f>IFERROR(VLOOKUP($A429,[4]P.O.!$A:$J,4,),"")</f>
        <v>FORNECIMENTO E INSTALAÇÃO DE CABO TETRAPOLAR ISOLADO PARA TENSÕES DE 1kV, SEÇÃO NOMINAL 4 X 50mm², COMPOSTO DE FIOS DE COBRE ELETROLÍTICO NU, TEMPÊRA MOLE, EXTRAFLEXÍVEL CLASSE 5, COM ISOLAÇÃO EM TERMOPLÁSTICO DE PVC FLEXÍVEL SEM CHUMBO ANTICHAMA E COBERTURA EM TERMOPLÁSTICO DE PVC FLEXÍVEL SEM CHUMBO ANTICHAMA NA COR PRETA REF.: SINTENAX FLEX 0,6/1kV DA PRYSMIAN OU EQUIVALENTE TECNICO</v>
      </c>
      <c r="E429" s="91" t="str">
        <f>IFERROR(VLOOKUP($A429,[4]P.O.!$A:$J,5,),"")</f>
        <v>M</v>
      </c>
      <c r="F429" s="139">
        <f>IFERROR(VLOOKUP($A429,[4]P.O.!$A:$J,6,),"")</f>
        <v>10</v>
      </c>
      <c r="G429" s="140">
        <f>IFERROR(VLOOKUP($A429,[4]P.O.!$A:$J,7,),"")</f>
        <v>102.75</v>
      </c>
      <c r="H429" s="140">
        <f>IFERROR(VLOOKUP($A429,[4]P.O.!$A:$J,8,),"")</f>
        <v>128.44</v>
      </c>
      <c r="I429" s="140">
        <f>IFERROR(VLOOKUP($A429,[4]P.O.!$A:$J,9,),"")</f>
        <v>1284.4000000000001</v>
      </c>
      <c r="J429" s="159">
        <f t="shared" si="52"/>
        <v>6.0437618044869603E-4</v>
      </c>
      <c r="K429" s="145">
        <f>IFERROR(VLOOKUP($A429,[4]P.O.!$A:$J,10,),"")</f>
        <v>0.25</v>
      </c>
      <c r="L429" s="265"/>
    </row>
    <row r="430" spans="1:12" s="232" customFormat="1" ht="33">
      <c r="A430" s="76" t="s">
        <v>88</v>
      </c>
      <c r="B430" s="77">
        <f>IFERROR(VLOOKUP($A430,[4]P.O.!$A:$J,2,),"")</f>
        <v>83424</v>
      </c>
      <c r="C430" s="77" t="str">
        <f>IFERROR(VLOOKUP($A430,[4]P.O.!$A:$J,3,),"")</f>
        <v>SINAPI SERVIÇO</v>
      </c>
      <c r="D430" s="78" t="str">
        <f>IFERROR(VLOOKUP($A430,[4]P.O.!$A:$J,4,),"")</f>
        <v>CABO DE COBRE ISOLAMENTO TERMOPLASTICO 0,6/1KV 50MM2 ANTI-CHAMA - FORN   ECIMENTO E INSTALACAO</v>
      </c>
      <c r="E430" s="91" t="str">
        <f>IFERROR(VLOOKUP($A430,[4]P.O.!$A:$J,5,),"")</f>
        <v>M</v>
      </c>
      <c r="F430" s="139">
        <f>IFERROR(VLOOKUP($A430,[4]P.O.!$A:$J,6,),"")</f>
        <v>10</v>
      </c>
      <c r="G430" s="140">
        <f>IFERROR(VLOOKUP($A430,[4]P.O.!$A:$J,7,),"")</f>
        <v>31.98</v>
      </c>
      <c r="H430" s="140">
        <f>IFERROR(VLOOKUP($A430,[4]P.O.!$A:$J,8,),"")</f>
        <v>39.979999999999997</v>
      </c>
      <c r="I430" s="140">
        <f>IFERROR(VLOOKUP($A430,[4]P.O.!$A:$J,9,),"")</f>
        <v>399.8</v>
      </c>
      <c r="J430" s="159">
        <f t="shared" si="52"/>
        <v>1.8812643798146112E-4</v>
      </c>
      <c r="K430" s="145">
        <f>IFERROR(VLOOKUP($A430,[4]P.O.!$A:$J,10,),"")</f>
        <v>0.25</v>
      </c>
      <c r="L430" s="265"/>
    </row>
    <row r="431" spans="1:12" s="232" customFormat="1" ht="49.5">
      <c r="A431" s="76" t="s">
        <v>89</v>
      </c>
      <c r="B431" s="77" t="str">
        <f>IFERROR(VLOOKUP($A431,[4]P.O.!$A:$J,2,),"")</f>
        <v>COMPS30005</v>
      </c>
      <c r="C431" s="77" t="str">
        <f>IFERROR(VLOOKUP($A431,[4]P.O.!$A:$J,3,),"")</f>
        <v>COMPOSIÇÃO</v>
      </c>
      <c r="D431" s="78" t="str">
        <f>IFERROR(VLOOKUP($A431,[4]P.O.!$A:$J,4,),"")</f>
        <v>FORNECIMENTO E INSTALAÇÃO DE POSTE DE CONCRETO DT, Ø85mm, COMPRIMENTO 7m, REFORÇADO COM VERGALHÃO DE FERRO #3/8", RESISTÊNCIA 200 daN, CONFORME PADRÃO CELPE DE ENTRADA DE FORNECIMENTO DE ENERGIA.</v>
      </c>
      <c r="E431" s="91" t="str">
        <f>IFERROR(VLOOKUP($A431,[4]P.O.!$A:$J,5,),"")</f>
        <v>UND</v>
      </c>
      <c r="F431" s="139">
        <f>IFERROR(VLOOKUP($A431,[4]P.O.!$A:$J,6,),"")</f>
        <v>1</v>
      </c>
      <c r="G431" s="140">
        <f>IFERROR(VLOOKUP($A431,[4]P.O.!$A:$J,7,),"")</f>
        <v>546.98</v>
      </c>
      <c r="H431" s="140">
        <f>IFERROR(VLOOKUP($A431,[4]P.O.!$A:$J,8,),"")</f>
        <v>683.73</v>
      </c>
      <c r="I431" s="140">
        <f>IFERROR(VLOOKUP($A431,[4]P.O.!$A:$J,9,),"")</f>
        <v>683.73</v>
      </c>
      <c r="J431" s="159">
        <f t="shared" si="52"/>
        <v>3.217300886469845E-4</v>
      </c>
      <c r="K431" s="145">
        <f>IFERROR(VLOOKUP($A431,[4]P.O.!$A:$J,10,),"")</f>
        <v>0.25</v>
      </c>
      <c r="L431" s="265"/>
    </row>
    <row r="432" spans="1:12" s="232" customFormat="1" ht="33">
      <c r="A432" s="76" t="s">
        <v>90</v>
      </c>
      <c r="B432" s="77" t="str">
        <f>IFERROR(VLOOKUP($A432,[4]P.O.!$A:$J,2,),"")</f>
        <v>COMPS30006</v>
      </c>
      <c r="C432" s="77" t="str">
        <f>IFERROR(VLOOKUP($A432,[4]P.O.!$A:$J,3,),"")</f>
        <v>COMPOSIÇÃO</v>
      </c>
      <c r="D432" s="78" t="str">
        <f>IFERROR(VLOOKUP($A432,[4]P.O.!$A:$J,4,),"")</f>
        <v>FORNECIMENTO E INSTALAÇÃO DE HASTE DE ATERRAMENTO TIPO COPPERWELD, ALTA CAMADA Ø3/4" x 2,40m</v>
      </c>
      <c r="E432" s="91" t="str">
        <f>IFERROR(VLOOKUP($A432,[4]P.O.!$A:$J,5,),"")</f>
        <v>UND</v>
      </c>
      <c r="F432" s="139">
        <f>IFERROR(VLOOKUP($A432,[4]P.O.!$A:$J,6,),"")</f>
        <v>9</v>
      </c>
      <c r="G432" s="140">
        <f>IFERROR(VLOOKUP($A432,[4]P.O.!$A:$J,7,),"")</f>
        <v>49.680000000000007</v>
      </c>
      <c r="H432" s="140">
        <f>IFERROR(VLOOKUP($A432,[4]P.O.!$A:$J,8,),"")</f>
        <v>62.1</v>
      </c>
      <c r="I432" s="140">
        <f>IFERROR(VLOOKUP($A432,[4]P.O.!$A:$J,9,),"")</f>
        <v>558.9</v>
      </c>
      <c r="J432" s="159">
        <f t="shared" si="52"/>
        <v>2.6299116105012161E-4</v>
      </c>
      <c r="K432" s="145">
        <f>IFERROR(VLOOKUP($A432,[4]P.O.!$A:$J,10,),"")</f>
        <v>0.25</v>
      </c>
      <c r="L432" s="265"/>
    </row>
    <row r="433" spans="1:12" s="232" customFormat="1" ht="49.5">
      <c r="A433" s="76" t="s">
        <v>91</v>
      </c>
      <c r="B433" s="77" t="str">
        <f>IFERROR(VLOOKUP($A433,[4]P.O.!$A:$J,2,),"")</f>
        <v>COMPS30007</v>
      </c>
      <c r="C433" s="77" t="str">
        <f>IFERROR(VLOOKUP($A433,[4]P.O.!$A:$J,3,),"")</f>
        <v>COMPOSIÇÃO</v>
      </c>
      <c r="D433" s="78" t="str">
        <f>IFERROR(VLOOKUP($A433,[4]P.O.!$A:$J,4,),"")</f>
        <v>FORNECIMENTO E INSTALAÇÃO DE CAIXA DE MEDIÇÃO TRIFÁSICA, COM ESPAÇO PARA DISJUNTOR TRIPOLAR DE CAIXA MOLDADA, CONFORME ANEXO XI DA NORMA SM04.13-00.01 E SR01.03-00.07</v>
      </c>
      <c r="E433" s="91" t="str">
        <f>IFERROR(VLOOKUP($A433,[4]P.O.!$A:$J,5,),"")</f>
        <v>UND</v>
      </c>
      <c r="F433" s="139">
        <f>IFERROR(VLOOKUP($A433,[4]P.O.!$A:$J,6,),"")</f>
        <v>1</v>
      </c>
      <c r="G433" s="140">
        <f>IFERROR(VLOOKUP($A433,[4]P.O.!$A:$J,7,),"")</f>
        <v>88.992498999999995</v>
      </c>
      <c r="H433" s="140">
        <f>IFERROR(VLOOKUP($A433,[4]P.O.!$A:$J,8,),"")</f>
        <v>111.24</v>
      </c>
      <c r="I433" s="140">
        <f>IFERROR(VLOOKUP($A433,[4]P.O.!$A:$J,9,),"")</f>
        <v>111.24</v>
      </c>
      <c r="J433" s="159">
        <f t="shared" si="52"/>
        <v>5.2344134469879268E-5</v>
      </c>
      <c r="K433" s="145">
        <f>IFERROR(VLOOKUP($A433,[4]P.O.!$A:$J,10,),"")</f>
        <v>0.25</v>
      </c>
      <c r="L433" s="265"/>
    </row>
    <row r="434" spans="1:12" s="232" customFormat="1" ht="82.5">
      <c r="A434" s="76" t="s">
        <v>92</v>
      </c>
      <c r="B434" s="77" t="str">
        <f>IFERROR(VLOOKUP($A434,[4]P.O.!$A:$J,2,),"")</f>
        <v>COMPS30008</v>
      </c>
      <c r="C434" s="77" t="str">
        <f>IFERROR(VLOOKUP($A434,[4]P.O.!$A:$J,3,),"")</f>
        <v>COMPOSIÇÃO</v>
      </c>
      <c r="D434" s="78" t="str">
        <f>IFERROR(VLOOKUP($A434,[4]P.O.!$A:$J,4,),"")</f>
        <v>FORNECIMENTO E INSTALAÇÃO DE DISJUNTOR TRIPOLAR DE CAIXA MOLDADA, CORRENTE NOMINAL 125A, TERMOMAGNÉTICO PADRÃO EUROPEU, TENSÃO DE OPERAÇÃO 220Vca, CAPACIDADE DE INTERRUPÇÃO 40kA/220Vca/60Hz, CURVA CARACTERÍSTICA DE DISPARO "C". FIXAÇÃO TIPO ENGATE RÁPIDO SOBRE TRILHO DE 35mm REF:COMPACT NS DA SCHNEIDER ELECTRIC OU EQUIVALENTE TECNICO</v>
      </c>
      <c r="E434" s="91" t="str">
        <f>IFERROR(VLOOKUP($A434,[4]P.O.!$A:$J,5,),"")</f>
        <v>UND</v>
      </c>
      <c r="F434" s="139">
        <f>IFERROR(VLOOKUP($A434,[4]P.O.!$A:$J,6,),"")</f>
        <v>1</v>
      </c>
      <c r="G434" s="140">
        <f>IFERROR(VLOOKUP($A434,[4]P.O.!$A:$J,7,),"")</f>
        <v>363.09999999999997</v>
      </c>
      <c r="H434" s="140">
        <f>IFERROR(VLOOKUP($A434,[4]P.O.!$A:$J,8,),"")</f>
        <v>453.88</v>
      </c>
      <c r="I434" s="140">
        <f>IFERROR(VLOOKUP($A434,[4]P.O.!$A:$J,9,),"")</f>
        <v>453.88</v>
      </c>
      <c r="J434" s="159">
        <f t="shared" si="52"/>
        <v>2.1357385610561673E-4</v>
      </c>
      <c r="K434" s="145">
        <f>IFERROR(VLOOKUP($A434,[4]P.O.!$A:$J,10,),"")</f>
        <v>0.25</v>
      </c>
      <c r="L434" s="265"/>
    </row>
    <row r="435" spans="1:12" s="232" customFormat="1" ht="66">
      <c r="A435" s="76" t="s">
        <v>93</v>
      </c>
      <c r="B435" s="77" t="str">
        <f>IFERROR(VLOOKUP($A435,[4]P.O.!$A:$J,2,),"")</f>
        <v>COMPS30009</v>
      </c>
      <c r="C435" s="77" t="str">
        <f>IFERROR(VLOOKUP($A435,[4]P.O.!$A:$J,3,),"")</f>
        <v>COMPOSIÇÃO</v>
      </c>
      <c r="D435" s="78" t="str">
        <f>IFERROR(VLOOKUP($A435,[4]P.O.!$A:$J,4,),"")</f>
        <v>FORNECIMENTO E INSTALAÇÃO DE DISPOSITIVO DE PROTEÇÃO CONTRA SURTOS (DPS), CLASSE I+II, VERSÃO EXTRAÍVEL (PLUG-IN), TENSÃO NOMINAL 230V, CAPACIDADE DE INTERRUPÇÃO 25kA, 230Vca/60Hz. FIXAÇÃO TIPO ENGATE RÁPIDO SOBRE TRILHO DE 35mm REF.: PRD1 25r 3P+N DA SCHNEIDER ELECTRIC OU EQUIVALENTE TECNICO</v>
      </c>
      <c r="E435" s="91" t="str">
        <f>IFERROR(VLOOKUP($A435,[4]P.O.!$A:$J,5,),"")</f>
        <v>UND</v>
      </c>
      <c r="F435" s="139">
        <f>IFERROR(VLOOKUP($A435,[4]P.O.!$A:$J,6,),"")</f>
        <v>1</v>
      </c>
      <c r="G435" s="140">
        <f>IFERROR(VLOOKUP($A435,[4]P.O.!$A:$J,7,),"")</f>
        <v>311.39</v>
      </c>
      <c r="H435" s="140">
        <f>IFERROR(VLOOKUP($A435,[4]P.O.!$A:$J,8,),"")</f>
        <v>389.24</v>
      </c>
      <c r="I435" s="140">
        <f>IFERROR(VLOOKUP($A435,[4]P.O.!$A:$J,9,),"")</f>
        <v>389.24</v>
      </c>
      <c r="J435" s="159">
        <f t="shared" si="52"/>
        <v>1.8315741550751355E-4</v>
      </c>
      <c r="K435" s="145">
        <f>IFERROR(VLOOKUP($A435,[4]P.O.!$A:$J,10,),"")</f>
        <v>0.25</v>
      </c>
      <c r="L435" s="265"/>
    </row>
    <row r="436" spans="1:12" s="232" customFormat="1" ht="33">
      <c r="A436" s="76" t="s">
        <v>94</v>
      </c>
      <c r="B436" s="77" t="str">
        <f>IFERROR(VLOOKUP($A436,[4]P.O.!$A:$J,2,),"")</f>
        <v>COMPS30059</v>
      </c>
      <c r="C436" s="77" t="str">
        <f>IFERROR(VLOOKUP($A436,[4]P.O.!$A:$J,3,),"")</f>
        <v>COMPOSIÇÃO</v>
      </c>
      <c r="D436" s="78" t="str">
        <f>IFERROR(VLOOKUP($A436,[4]P.O.!$A:$J,4,),"")</f>
        <v>FORNECIMENTO E INSTALAÇÃO DE ELETRODUTO CORRUGADO PEAD COR PRETA, ENTERRADO, φ1", FORNECIDO EM ROLOS DE 50m. REF.: TECHDUTO OU EQUIVALENTE TECNICO</v>
      </c>
      <c r="E436" s="91" t="str">
        <f>IFERROR(VLOOKUP($A436,[4]P.O.!$A:$J,5,),"")</f>
        <v>M</v>
      </c>
      <c r="F436" s="139">
        <f>IFERROR(VLOOKUP($A436,[4]P.O.!$A:$J,6,),"")</f>
        <v>18</v>
      </c>
      <c r="G436" s="140">
        <f>IFERROR(VLOOKUP($A436,[4]P.O.!$A:$J,7,),"")</f>
        <v>17.170000000000002</v>
      </c>
      <c r="H436" s="140">
        <f>IFERROR(VLOOKUP($A436,[4]P.O.!$A:$J,8,),"")</f>
        <v>21.46</v>
      </c>
      <c r="I436" s="140">
        <f>IFERROR(VLOOKUP($A436,[4]P.O.!$A:$J,9,),"")</f>
        <v>386.28</v>
      </c>
      <c r="J436" s="159">
        <f t="shared" si="52"/>
        <v>1.8176458345042218E-4</v>
      </c>
      <c r="K436" s="145">
        <f>IFERROR(VLOOKUP($A436,[4]P.O.!$A:$J,10,),"")</f>
        <v>0.25</v>
      </c>
      <c r="L436" s="265"/>
    </row>
    <row r="437" spans="1:12" s="232" customFormat="1" ht="49.5">
      <c r="A437" s="76" t="s">
        <v>95</v>
      </c>
      <c r="B437" s="77" t="str">
        <f>IFERROR(VLOOKUP($A437,[4]P.O.!$A:$J,2,),"")</f>
        <v>COMPS30063</v>
      </c>
      <c r="C437" s="77" t="str">
        <f>IFERROR(VLOOKUP($A437,[4]P.O.!$A:$J,3,),"")</f>
        <v>COMPOSIÇÃO</v>
      </c>
      <c r="D437" s="78" t="str">
        <f>IFERROR(VLOOKUP($A437,[4]P.O.!$A:$J,4,),"")</f>
        <v>FORNECIMENTO E INSTALAÇÃO DE ELETRODUTO ROSCÁVEL DE PVC RÍGIDO PRETO Ø3/4", ROSCA "BSP", FORNECIDO EM VARAS DE 3m DE COMPRIMENTO E COM 1 LUVA DE MESMO MATERIAL REF.: TIGRE OU EQUIVALENTE TECNICO</v>
      </c>
      <c r="E437" s="91" t="str">
        <f>IFERROR(VLOOKUP($A437,[4]P.O.!$A:$J,5,),"")</f>
        <v>M</v>
      </c>
      <c r="F437" s="139">
        <f>IFERROR(VLOOKUP($A437,[4]P.O.!$A:$J,6,),"")</f>
        <v>25</v>
      </c>
      <c r="G437" s="140">
        <f>IFERROR(VLOOKUP($A437,[4]P.O.!$A:$J,7,),"")</f>
        <v>10.15</v>
      </c>
      <c r="H437" s="140">
        <f>IFERROR(VLOOKUP($A437,[4]P.O.!$A:$J,8,),"")</f>
        <v>12.69</v>
      </c>
      <c r="I437" s="140">
        <f>IFERROR(VLOOKUP($A437,[4]P.O.!$A:$J,9,),"")</f>
        <v>317.25</v>
      </c>
      <c r="J437" s="159">
        <f t="shared" si="52"/>
        <v>1.4928242233521396E-4</v>
      </c>
      <c r="K437" s="145">
        <f>IFERROR(VLOOKUP($A437,[4]P.O.!$A:$J,10,),"")</f>
        <v>0.25</v>
      </c>
      <c r="L437" s="265"/>
    </row>
    <row r="438" spans="1:12" s="232" customFormat="1" ht="49.5">
      <c r="A438" s="76" t="s">
        <v>439</v>
      </c>
      <c r="B438" s="77" t="str">
        <f>IFERROR(VLOOKUP($A438,[4]P.O.!$A:$J,2,),"")</f>
        <v>COMPS30064</v>
      </c>
      <c r="C438" s="77" t="str">
        <f>IFERROR(VLOOKUP($A438,[4]P.O.!$A:$J,3,),"")</f>
        <v>COMPOSIÇÃO</v>
      </c>
      <c r="D438" s="78" t="str">
        <f>IFERROR(VLOOKUP($A438,[4]P.O.!$A:$J,4,),"")</f>
        <v>FORNECIMENTO E INSTALAÇÃO DE ELETRODUTO ROSCÁVEL DE PVC RÍGIDO PRETO Ø1", ROSCA "BSP", FORNECIDO EM VARAS DE 3m DE COMPRIMENTO E COM 1 LUVA DE MESMO MATERIAL REF.: TIGRE OU EQUIVALENTE TECNICO</v>
      </c>
      <c r="E438" s="91" t="str">
        <f>IFERROR(VLOOKUP($A438,[4]P.O.!$A:$J,5,),"")</f>
        <v>M</v>
      </c>
      <c r="F438" s="139">
        <f>IFERROR(VLOOKUP($A438,[4]P.O.!$A:$J,6,),"")</f>
        <v>40</v>
      </c>
      <c r="G438" s="140">
        <f>IFERROR(VLOOKUP($A438,[4]P.O.!$A:$J,7,),"")</f>
        <v>15.53</v>
      </c>
      <c r="H438" s="140">
        <f>IFERROR(VLOOKUP($A438,[4]P.O.!$A:$J,8,),"")</f>
        <v>19.41</v>
      </c>
      <c r="I438" s="140">
        <f>IFERROR(VLOOKUP($A438,[4]P.O.!$A:$J,9,),"")</f>
        <v>776.4</v>
      </c>
      <c r="J438" s="159">
        <f t="shared" si="52"/>
        <v>3.6533608416409807E-4</v>
      </c>
      <c r="K438" s="145">
        <f>IFERROR(VLOOKUP($A438,[4]P.O.!$A:$J,10,),"")</f>
        <v>0.25</v>
      </c>
      <c r="L438" s="265"/>
    </row>
    <row r="439" spans="1:12" s="232" customFormat="1" ht="49.5">
      <c r="A439" s="76" t="s">
        <v>440</v>
      </c>
      <c r="B439" s="77" t="str">
        <f>IFERROR(VLOOKUP($A439,[4]P.O.!$A:$J,2,),"")</f>
        <v>COMPS30065</v>
      </c>
      <c r="C439" s="77" t="str">
        <f>IFERROR(VLOOKUP($A439,[4]P.O.!$A:$J,3,),"")</f>
        <v>COMPOSIÇÃO</v>
      </c>
      <c r="D439" s="78" t="str">
        <f>IFERROR(VLOOKUP($A439,[4]P.O.!$A:$J,4,),"")</f>
        <v>FORNECIMENTO E INSTALAÇÃO DE ELETRODUTO ROSCÁVEL DE PVC RÍGIDO PRETO Ø1.1/2", ROSCA "BSP", FORNECIDO EM VARAS DE 3m DE COMPRIMENTO E COM 1 LUVA DE MESMO MATERIAL REF.: TIGRE OU EQUIVALENTE TECNICO</v>
      </c>
      <c r="E439" s="91" t="str">
        <f>IFERROR(VLOOKUP($A439,[4]P.O.!$A:$J,5,),"")</f>
        <v>M</v>
      </c>
      <c r="F439" s="139">
        <f>IFERROR(VLOOKUP($A439,[4]P.O.!$A:$J,6,),"")</f>
        <v>10</v>
      </c>
      <c r="G439" s="140">
        <f>IFERROR(VLOOKUP($A439,[4]P.O.!$A:$J,7,),"")</f>
        <v>24.66</v>
      </c>
      <c r="H439" s="140">
        <f>IFERROR(VLOOKUP($A439,[4]P.O.!$A:$J,8,),"")</f>
        <v>30.83</v>
      </c>
      <c r="I439" s="140">
        <f>IFERROR(VLOOKUP($A439,[4]P.O.!$A:$J,9,),"")</f>
        <v>308.3</v>
      </c>
      <c r="J439" s="159">
        <f t="shared" si="52"/>
        <v>1.4507098756799515E-4</v>
      </c>
      <c r="K439" s="145">
        <f>IFERROR(VLOOKUP($A439,[4]P.O.!$A:$J,10,),"")</f>
        <v>0.25</v>
      </c>
      <c r="L439" s="265"/>
    </row>
    <row r="440" spans="1:12" s="232" customFormat="1" ht="33">
      <c r="A440" s="76" t="s">
        <v>441</v>
      </c>
      <c r="B440" s="77" t="str">
        <f>IFERROR(VLOOKUP($A440,[4]P.O.!$A:$J,2,),"")</f>
        <v>COMPS30023</v>
      </c>
      <c r="C440" s="77" t="str">
        <f>IFERROR(VLOOKUP($A440,[4]P.O.!$A:$J,3,),"")</f>
        <v>COMPOSIÇÃO</v>
      </c>
      <c r="D440" s="78" t="str">
        <f>IFERROR(VLOOKUP($A440,[4]P.O.!$A:$J,4,),"")</f>
        <v>FORNECIMENTO E INSTALAÇÃO DE CURVA 90 GRAUS  DE PVC RÍGIDO, PARA ELETRODUTO ROSCÁVEL PRETO, Ø3/4" ROSCA "BSP" REF.: TIGRE OU EQUIVALENTE TECNICO</v>
      </c>
      <c r="E440" s="91" t="str">
        <f>IFERROR(VLOOKUP($A440,[4]P.O.!$A:$J,5,),"")</f>
        <v>PÇ</v>
      </c>
      <c r="F440" s="139">
        <f>IFERROR(VLOOKUP($A440,[4]P.O.!$A:$J,6,),"")</f>
        <v>2</v>
      </c>
      <c r="G440" s="140">
        <f>IFERROR(VLOOKUP($A440,[4]P.O.!$A:$J,7,),"")</f>
        <v>6</v>
      </c>
      <c r="H440" s="140">
        <f>IFERROR(VLOOKUP($A440,[4]P.O.!$A:$J,8,),"")</f>
        <v>7.5</v>
      </c>
      <c r="I440" s="140">
        <f>IFERROR(VLOOKUP($A440,[4]P.O.!$A:$J,9,),"")</f>
        <v>15</v>
      </c>
      <c r="J440" s="159">
        <f t="shared" si="52"/>
        <v>7.0582705595845835E-6</v>
      </c>
      <c r="K440" s="145">
        <f>IFERROR(VLOOKUP($A440,[4]P.O.!$A:$J,10,),"")</f>
        <v>0.25</v>
      </c>
      <c r="L440" s="265"/>
    </row>
    <row r="441" spans="1:12" s="232" customFormat="1" ht="33">
      <c r="A441" s="76" t="s">
        <v>442</v>
      </c>
      <c r="B441" s="77" t="str">
        <f>IFERROR(VLOOKUP($A441,[4]P.O.!$A:$J,2,),"")</f>
        <v>COMPS30024</v>
      </c>
      <c r="C441" s="77" t="str">
        <f>IFERROR(VLOOKUP($A441,[4]P.O.!$A:$J,3,),"")</f>
        <v>COMPOSIÇÃO</v>
      </c>
      <c r="D441" s="78" t="str">
        <f>IFERROR(VLOOKUP($A441,[4]P.O.!$A:$J,4,),"")</f>
        <v>FORNECIMENTO E INSTALAÇÃO DE CURVA 90 GRAUS  DE PVC RÍGIDO, PARA ELETRODUTO ROSCÁVEL PRETO, Ø1" ROSCA "BSP" REF.: TIGRE OU EQUIVALENTE TECNICO</v>
      </c>
      <c r="E441" s="91" t="str">
        <f>IFERROR(VLOOKUP($A441,[4]P.O.!$A:$J,5,),"")</f>
        <v>PÇ</v>
      </c>
      <c r="F441" s="139">
        <f>IFERROR(VLOOKUP($A441,[4]P.O.!$A:$J,6,),"")</f>
        <v>4</v>
      </c>
      <c r="G441" s="140">
        <f>IFERROR(VLOOKUP($A441,[4]P.O.!$A:$J,7,),"")</f>
        <v>10.49</v>
      </c>
      <c r="H441" s="140">
        <f>IFERROR(VLOOKUP($A441,[4]P.O.!$A:$J,8,),"")</f>
        <v>13.11</v>
      </c>
      <c r="I441" s="140">
        <f>IFERROR(VLOOKUP($A441,[4]P.O.!$A:$J,9,),"")</f>
        <v>52.44</v>
      </c>
      <c r="J441" s="159">
        <f t="shared" si="52"/>
        <v>2.4675713876307704E-5</v>
      </c>
      <c r="K441" s="145">
        <f>IFERROR(VLOOKUP($A441,[4]P.O.!$A:$J,10,),"")</f>
        <v>0.25</v>
      </c>
      <c r="L441" s="265"/>
    </row>
    <row r="442" spans="1:12" s="232" customFormat="1" ht="33">
      <c r="A442" s="76" t="s">
        <v>443</v>
      </c>
      <c r="B442" s="77" t="str">
        <f>IFERROR(VLOOKUP($A442,[4]P.O.!$A:$J,2,),"")</f>
        <v>COMPS30025</v>
      </c>
      <c r="C442" s="77" t="str">
        <f>IFERROR(VLOOKUP($A442,[4]P.O.!$A:$J,3,),"")</f>
        <v>COMPOSIÇÃO</v>
      </c>
      <c r="D442" s="78" t="str">
        <f>IFERROR(VLOOKUP($A442,[4]P.O.!$A:$J,4,),"")</f>
        <v>FORNECIMENTO E INSTALAÇÃO DE CURVA 90 GRAUS  DE PVC RÍGIDO, PARA ELETRODUTO ROSCÁVEL PRETO, Ø1.1/2" ROSCA "BSP" REF.: TIGRE OU EQUIVALENTE TECNICO</v>
      </c>
      <c r="E442" s="91" t="str">
        <f>IFERROR(VLOOKUP($A442,[4]P.O.!$A:$J,5,),"")</f>
        <v>PÇ</v>
      </c>
      <c r="F442" s="139">
        <f>IFERROR(VLOOKUP($A442,[4]P.O.!$A:$J,6,),"")</f>
        <v>3</v>
      </c>
      <c r="G442" s="140">
        <f>IFERROR(VLOOKUP($A442,[4]P.O.!$A:$J,7,),"")</f>
        <v>13.27</v>
      </c>
      <c r="H442" s="140">
        <f>IFERROR(VLOOKUP($A442,[4]P.O.!$A:$J,8,),"")</f>
        <v>16.59</v>
      </c>
      <c r="I442" s="140">
        <f>IFERROR(VLOOKUP($A442,[4]P.O.!$A:$J,9,),"")</f>
        <v>49.77</v>
      </c>
      <c r="J442" s="159">
        <f t="shared" si="52"/>
        <v>2.3419341716701651E-5</v>
      </c>
      <c r="K442" s="145">
        <f>IFERROR(VLOOKUP($A442,[4]P.O.!$A:$J,10,),"")</f>
        <v>0.25</v>
      </c>
      <c r="L442" s="265"/>
    </row>
    <row r="443" spans="1:12" s="232" customFormat="1" ht="33">
      <c r="A443" s="76" t="s">
        <v>444</v>
      </c>
      <c r="B443" s="77" t="str">
        <f>IFERROR(VLOOKUP($A443,[4]P.O.!$A:$J,2,),"")</f>
        <v>COMPS30026</v>
      </c>
      <c r="C443" s="77" t="str">
        <f>IFERROR(VLOOKUP($A443,[4]P.O.!$A:$J,3,),"")</f>
        <v>COMPOSIÇÃO</v>
      </c>
      <c r="D443" s="78" t="str">
        <f>IFERROR(VLOOKUP($A443,[4]P.O.!$A:$J,4,),"")</f>
        <v>FORNECIMENTO E INSTALAÇÃO DE LUVA  DE PVC RÍGIDO, PARA EMENDA DE  ELETRODUTO ROSCÁVEL PRETO, Ø3/4" ROSCA "BSP" REF.: TIGRE OU EQUIVALENTE TECNICO</v>
      </c>
      <c r="E443" s="91" t="str">
        <f>IFERROR(VLOOKUP($A443,[4]P.O.!$A:$J,5,),"")</f>
        <v>PÇ</v>
      </c>
      <c r="F443" s="139">
        <f>IFERROR(VLOOKUP($A443,[4]P.O.!$A:$J,6,),"")</f>
        <v>6</v>
      </c>
      <c r="G443" s="140">
        <f>IFERROR(VLOOKUP($A443,[4]P.O.!$A:$J,7,),"")</f>
        <v>2.7199999999999998</v>
      </c>
      <c r="H443" s="140">
        <f>IFERROR(VLOOKUP($A443,[4]P.O.!$A:$J,8,),"")</f>
        <v>3.4</v>
      </c>
      <c r="I443" s="140">
        <f>IFERROR(VLOOKUP($A443,[4]P.O.!$A:$J,9,),"")</f>
        <v>20.399999999999999</v>
      </c>
      <c r="J443" s="159">
        <f t="shared" si="52"/>
        <v>9.5992479610350334E-6</v>
      </c>
      <c r="K443" s="145">
        <f>IFERROR(VLOOKUP($A443,[4]P.O.!$A:$J,10,),"")</f>
        <v>0.25</v>
      </c>
      <c r="L443" s="265"/>
    </row>
    <row r="444" spans="1:12" s="232" customFormat="1" ht="33">
      <c r="A444" s="76" t="s">
        <v>445</v>
      </c>
      <c r="B444" s="77" t="str">
        <f>IFERROR(VLOOKUP($A444,[4]P.O.!$A:$J,2,),"")</f>
        <v>COMPS30027</v>
      </c>
      <c r="C444" s="77" t="str">
        <f>IFERROR(VLOOKUP($A444,[4]P.O.!$A:$J,3,),"")</f>
        <v>COMPOSIÇÃO</v>
      </c>
      <c r="D444" s="78" t="str">
        <f>IFERROR(VLOOKUP($A444,[4]P.O.!$A:$J,4,),"")</f>
        <v>FORNECIMENTO E INSTALAÇÃO DE LUVA  DE PVC RÍGIDO, PARA EMENDA DE  ELETRODUTO ROSCÁVEL PRETO, Ø1" ROSCA "BSP" REF.: TIGRE OU EQUIVALENTE TECNICO</v>
      </c>
      <c r="E444" s="91" t="str">
        <f>IFERROR(VLOOKUP($A444,[4]P.O.!$A:$J,5,),"")</f>
        <v>PÇ</v>
      </c>
      <c r="F444" s="139">
        <f>IFERROR(VLOOKUP($A444,[4]P.O.!$A:$J,6,),"")</f>
        <v>12</v>
      </c>
      <c r="G444" s="140">
        <f>IFERROR(VLOOKUP($A444,[4]P.O.!$A:$J,7,),"")</f>
        <v>3.7600000000000002</v>
      </c>
      <c r="H444" s="140">
        <f>IFERROR(VLOOKUP($A444,[4]P.O.!$A:$J,8,),"")</f>
        <v>4.7</v>
      </c>
      <c r="I444" s="140">
        <f>IFERROR(VLOOKUP($A444,[4]P.O.!$A:$J,9,),"")</f>
        <v>56.4</v>
      </c>
      <c r="J444" s="159">
        <f t="shared" si="52"/>
        <v>2.6539097304038034E-5</v>
      </c>
      <c r="K444" s="145">
        <f>IFERROR(VLOOKUP($A444,[4]P.O.!$A:$J,10,),"")</f>
        <v>0.25</v>
      </c>
      <c r="L444" s="265"/>
    </row>
    <row r="445" spans="1:12" s="232" customFormat="1" ht="33">
      <c r="A445" s="76" t="s">
        <v>446</v>
      </c>
      <c r="B445" s="77" t="str">
        <f>IFERROR(VLOOKUP($A445,[4]P.O.!$A:$J,2,),"")</f>
        <v>COMPS30028</v>
      </c>
      <c r="C445" s="77" t="str">
        <f>IFERROR(VLOOKUP($A445,[4]P.O.!$A:$J,3,),"")</f>
        <v>COMPOSIÇÃO</v>
      </c>
      <c r="D445" s="78" t="str">
        <f>IFERROR(VLOOKUP($A445,[4]P.O.!$A:$J,4,),"")</f>
        <v>FORNECIMENTO E INSTALAÇÃO DE LUVA  DE PVC RÍGIDO, PARA EMENDA DE  ELETRODUTO ROSCÁVEL PRETO, Ø1.1/2" ROSCA "BSP" REF.: TIGRE OU EQUIVALENTE TECNICO</v>
      </c>
      <c r="E445" s="91" t="str">
        <f>IFERROR(VLOOKUP($A445,[4]P.O.!$A:$J,5,),"")</f>
        <v>PÇ</v>
      </c>
      <c r="F445" s="139">
        <f>IFERROR(VLOOKUP($A445,[4]P.O.!$A:$J,6,),"")</f>
        <v>8</v>
      </c>
      <c r="G445" s="140">
        <f>IFERROR(VLOOKUP($A445,[4]P.O.!$A:$J,7,),"")</f>
        <v>7.5100000000000007</v>
      </c>
      <c r="H445" s="140">
        <f>IFERROR(VLOOKUP($A445,[4]P.O.!$A:$J,8,),"")</f>
        <v>9.39</v>
      </c>
      <c r="I445" s="140">
        <f>IFERROR(VLOOKUP($A445,[4]P.O.!$A:$J,9,),"")</f>
        <v>75.12</v>
      </c>
      <c r="J445" s="159">
        <f t="shared" si="52"/>
        <v>3.5347818962399597E-5</v>
      </c>
      <c r="K445" s="145">
        <f>IFERROR(VLOOKUP($A445,[4]P.O.!$A:$J,10,),"")</f>
        <v>0.25</v>
      </c>
      <c r="L445" s="265"/>
    </row>
    <row r="446" spans="1:12" s="232" customFormat="1" ht="33">
      <c r="A446" s="76" t="s">
        <v>447</v>
      </c>
      <c r="B446" s="77" t="str">
        <f>IFERROR(VLOOKUP($A446,[4]P.O.!$A:$J,2,),"")</f>
        <v>COMPS30010</v>
      </c>
      <c r="C446" s="77" t="str">
        <f>IFERROR(VLOOKUP($A446,[4]P.O.!$A:$J,3,),"")</f>
        <v>COMPOSIÇÃO</v>
      </c>
      <c r="D446" s="78" t="str">
        <f>IFERROR(VLOOKUP($A446,[4]P.O.!$A:$J,4,),"")</f>
        <v>FORNECIMENTO E INSTALAÇÃO DE CAIXA OCTOGONAL 4"x4" DE EMBUTIR, COM FUNDO MÓVEL,  EM MATERIAL TERMOPLÁSTICO (PVC) REF.: TIGRE OU EQUIVALENTE TECNICO</v>
      </c>
      <c r="E446" s="91" t="str">
        <f>IFERROR(VLOOKUP($A446,[4]P.O.!$A:$J,5,),"")</f>
        <v>PÇ</v>
      </c>
      <c r="F446" s="139">
        <f>IFERROR(VLOOKUP($A446,[4]P.O.!$A:$J,6,),"")</f>
        <v>15</v>
      </c>
      <c r="G446" s="140">
        <f>IFERROR(VLOOKUP($A446,[4]P.O.!$A:$J,7,),"")</f>
        <v>7.76</v>
      </c>
      <c r="H446" s="140">
        <f>IFERROR(VLOOKUP($A446,[4]P.O.!$A:$J,8,),"")</f>
        <v>9.6999999999999993</v>
      </c>
      <c r="I446" s="140">
        <f>IFERROR(VLOOKUP($A446,[4]P.O.!$A:$J,9,),"")</f>
        <v>145.5</v>
      </c>
      <c r="J446" s="159">
        <f t="shared" si="52"/>
        <v>6.846522442797046E-5</v>
      </c>
      <c r="K446" s="145">
        <f>IFERROR(VLOOKUP($A446,[4]P.O.!$A:$J,10,),"")</f>
        <v>0.25</v>
      </c>
      <c r="L446" s="265"/>
    </row>
    <row r="447" spans="1:12" s="232" customFormat="1" ht="33">
      <c r="A447" s="76" t="s">
        <v>448</v>
      </c>
      <c r="B447" s="77">
        <f>IFERROR(VLOOKUP($A447,[4]P.O.!$A:$J,2,),"")</f>
        <v>72135</v>
      </c>
      <c r="C447" s="77" t="str">
        <f>IFERROR(VLOOKUP($A447,[4]P.O.!$A:$J,3,),"")</f>
        <v>SINAPI SERVIÇO</v>
      </c>
      <c r="D447" s="78" t="str">
        <f>IFERROR(VLOOKUP($A447,[4]P.O.!$A:$J,4,),"")</f>
        <v>ABERTURA/FECHAMENTO RASGO ALVENARIA PARA TUBOS, FECHAMENTO COM ARGAMAS   SA TRACO 1:1:6 (CIMENTO, CAL E AREIA)</v>
      </c>
      <c r="E447" s="91" t="str">
        <f>IFERROR(VLOOKUP($A447,[4]P.O.!$A:$J,5,),"")</f>
        <v>M</v>
      </c>
      <c r="F447" s="139">
        <f>IFERROR(VLOOKUP($A447,[4]P.O.!$A:$J,6,),"")</f>
        <v>29</v>
      </c>
      <c r="G447" s="140">
        <f>IFERROR(VLOOKUP($A447,[4]P.O.!$A:$J,7,),"")</f>
        <v>4.0199999999999996</v>
      </c>
      <c r="H447" s="140">
        <f>IFERROR(VLOOKUP($A447,[4]P.O.!$A:$J,8,),"")</f>
        <v>5.03</v>
      </c>
      <c r="I447" s="140">
        <f>IFERROR(VLOOKUP($A447,[4]P.O.!$A:$J,9,),"")</f>
        <v>145.87</v>
      </c>
      <c r="J447" s="159">
        <f t="shared" si="52"/>
        <v>6.8639328435106888E-5</v>
      </c>
      <c r="K447" s="145">
        <f>IFERROR(VLOOKUP($A447,[4]P.O.!$A:$J,10,),"")</f>
        <v>0.25</v>
      </c>
      <c r="L447" s="265"/>
    </row>
    <row r="448" spans="1:12" s="232" customFormat="1">
      <c r="A448" s="76"/>
      <c r="B448" s="77"/>
      <c r="C448" s="77"/>
      <c r="D448" s="78"/>
      <c r="E448" s="91"/>
      <c r="F448" s="139"/>
      <c r="G448" s="140"/>
      <c r="H448" s="140"/>
      <c r="I448" s="140"/>
      <c r="J448" s="159"/>
      <c r="K448" s="141"/>
    </row>
    <row r="449" spans="1:12" s="235" customFormat="1">
      <c r="A449" s="95" t="s">
        <v>96</v>
      </c>
      <c r="B449" s="110"/>
      <c r="C449" s="110"/>
      <c r="D449" s="97" t="str">
        <f>IFERROR(VLOOKUP($A449,[4]P.O.!$A:$J,4,),"")</f>
        <v>CAIXAS E CONDULETES</v>
      </c>
      <c r="E449" s="96"/>
      <c r="F449" s="163"/>
      <c r="G449" s="180"/>
      <c r="H449" s="180"/>
      <c r="I449" s="180"/>
      <c r="J449" s="165"/>
      <c r="K449" s="181"/>
    </row>
    <row r="450" spans="1:12" s="232" customFormat="1">
      <c r="A450" s="76" t="s">
        <v>97</v>
      </c>
      <c r="B450" s="77">
        <f>IFERROR(VLOOKUP($A450,[4]P.O.!$A:$J,2,),"")</f>
        <v>83387</v>
      </c>
      <c r="C450" s="77" t="str">
        <f>IFERROR(VLOOKUP($A450,[4]P.O.!$A:$J,3,),"")</f>
        <v>SINAPI SERVIÇO</v>
      </c>
      <c r="D450" s="78" t="str">
        <f>IFERROR(VLOOKUP($A450,[4]P.O.!$A:$J,4,),"")</f>
        <v>CAIXA DE PASSAGEM PVC 4X2" - FORNECIMENTO E INSTALACAO</v>
      </c>
      <c r="E450" s="91" t="str">
        <f>IFERROR(VLOOKUP($A450,[4]P.O.!$A:$J,5,),"")</f>
        <v>UN</v>
      </c>
      <c r="F450" s="139">
        <f>IFERROR(VLOOKUP($A450,[4]P.O.!$A:$J,6,),"")</f>
        <v>95</v>
      </c>
      <c r="G450" s="140">
        <f>IFERROR(VLOOKUP($A450,[4]P.O.!$A:$J,7,),"")</f>
        <v>6.53</v>
      </c>
      <c r="H450" s="140">
        <f>IFERROR(VLOOKUP($A450,[4]P.O.!$A:$J,8,),"")</f>
        <v>8.16</v>
      </c>
      <c r="I450" s="140">
        <f>IFERROR(VLOOKUP($A450,[4]P.O.!$A:$J,9,),"")</f>
        <v>775.2</v>
      </c>
      <c r="J450" s="159">
        <f t="shared" ref="J450:J451" si="53">IF(I450="","",I450/$E$777)</f>
        <v>3.6477142251933133E-4</v>
      </c>
      <c r="K450" s="145">
        <f>IFERROR(VLOOKUP($A450,[4]P.O.!$A:$J,10,),"")</f>
        <v>0.25</v>
      </c>
      <c r="L450" s="265"/>
    </row>
    <row r="451" spans="1:12" s="232" customFormat="1" ht="33">
      <c r="A451" s="76" t="s">
        <v>98</v>
      </c>
      <c r="B451" s="77" t="str">
        <f>IFERROR(VLOOKUP($A451,[4]P.O.!$A:$J,2,),"")</f>
        <v>COMPS30010</v>
      </c>
      <c r="C451" s="77" t="str">
        <f>IFERROR(VLOOKUP($A451,[4]P.O.!$A:$J,3,),"")</f>
        <v>COMPOSIÇÃO</v>
      </c>
      <c r="D451" s="78" t="str">
        <f>IFERROR(VLOOKUP($A451,[4]P.O.!$A:$J,4,),"")</f>
        <v>FORNECIMENTO E INSTALAÇÃO DE CAIXA OCTOGONAL 4"x4" DE EMBUTIR, COM FUNDO MÓVEL,  EM MATERIAL TERMOPLÁSTICO (PVC) REF.: TIGRE OU EQUIVALENTE TECNICO</v>
      </c>
      <c r="E451" s="91" t="str">
        <f>IFERROR(VLOOKUP($A451,[4]P.O.!$A:$J,5,),"")</f>
        <v>PÇ</v>
      </c>
      <c r="F451" s="139">
        <f>IFERROR(VLOOKUP($A451,[4]P.O.!$A:$J,6,),"")</f>
        <v>115</v>
      </c>
      <c r="G451" s="140">
        <f>IFERROR(VLOOKUP($A451,[4]P.O.!$A:$J,7,),"")</f>
        <v>7.76</v>
      </c>
      <c r="H451" s="140">
        <f>IFERROR(VLOOKUP($A451,[4]P.O.!$A:$J,8,),"")</f>
        <v>9.6999999999999993</v>
      </c>
      <c r="I451" s="140">
        <f>IFERROR(VLOOKUP($A451,[4]P.O.!$A:$J,9,),"")</f>
        <v>1115.5</v>
      </c>
      <c r="J451" s="159">
        <f t="shared" si="53"/>
        <v>5.2490005394777357E-4</v>
      </c>
      <c r="K451" s="145">
        <f>IFERROR(VLOOKUP($A451,[4]P.O.!$A:$J,10,),"")</f>
        <v>0.25</v>
      </c>
      <c r="L451" s="265"/>
    </row>
    <row r="452" spans="1:12" s="232" customFormat="1">
      <c r="A452" s="76"/>
      <c r="B452" s="77"/>
      <c r="C452" s="77"/>
      <c r="D452" s="78"/>
      <c r="E452" s="91"/>
      <c r="F452" s="139"/>
      <c r="G452" s="140"/>
      <c r="H452" s="140"/>
      <c r="I452" s="140"/>
      <c r="J452" s="159"/>
      <c r="K452" s="141"/>
    </row>
    <row r="453" spans="1:12" s="235" customFormat="1">
      <c r="A453" s="95" t="s">
        <v>99</v>
      </c>
      <c r="B453" s="110"/>
      <c r="C453" s="110"/>
      <c r="D453" s="97" t="str">
        <f>IFERROR(VLOOKUP($A453,[4]P.O.!$A:$J,4,),"")</f>
        <v>REDE DE DISTRIBUIÇÃO</v>
      </c>
      <c r="E453" s="96"/>
      <c r="F453" s="163"/>
      <c r="G453" s="180"/>
      <c r="H453" s="180"/>
      <c r="I453" s="180"/>
      <c r="J453" s="165"/>
      <c r="K453" s="181"/>
    </row>
    <row r="454" spans="1:12" s="232" customFormat="1" ht="49.5">
      <c r="A454" s="76" t="s">
        <v>100</v>
      </c>
      <c r="B454" s="77" t="str">
        <f>IFERROR(VLOOKUP($A454,[4]P.O.!$A:$J,2,),"")</f>
        <v>COMPS30066</v>
      </c>
      <c r="C454" s="77" t="str">
        <f>IFERROR(VLOOKUP($A454,[4]P.O.!$A:$J,3,),"")</f>
        <v>COMPOSIÇÃO</v>
      </c>
      <c r="D454" s="78" t="str">
        <f>IFERROR(VLOOKUP($A454,[4]P.O.!$A:$J,4,),"")</f>
        <v>FORNECIMENTO E INSTALAÇÃO DE ELETRODUTO CORRUGADO PEAD COR PRETA, ENTERRADO, φ3/4", FORNECIDO FORNECIMENTO E INSTALAÇÃO DE EM ROLOS DE 50m. REF.: TECHDUTO OU EQUIVALENTE TECNICO</v>
      </c>
      <c r="E454" s="91" t="str">
        <f>IFERROR(VLOOKUP($A454,[4]P.O.!$A:$J,5,),"")</f>
        <v>M</v>
      </c>
      <c r="F454" s="139">
        <f>IFERROR(VLOOKUP($A454,[4]P.O.!$A:$J,6,),"")</f>
        <v>250</v>
      </c>
      <c r="G454" s="140">
        <f>IFERROR(VLOOKUP($A454,[4]P.O.!$A:$J,7,),"")</f>
        <v>15.690000000000001</v>
      </c>
      <c r="H454" s="140">
        <f>IFERROR(VLOOKUP($A454,[4]P.O.!$A:$J,8,),"")</f>
        <v>19.61</v>
      </c>
      <c r="I454" s="140">
        <f>IFERROR(VLOOKUP($A454,[4]P.O.!$A:$J,9,),"")</f>
        <v>4902.5</v>
      </c>
      <c r="J454" s="159">
        <f t="shared" ref="J454:J486" si="54">IF(I454="","",I454/$E$777)</f>
        <v>2.3068780945575615E-3</v>
      </c>
      <c r="K454" s="145">
        <f>IFERROR(VLOOKUP($A454,[4]P.O.!$A:$J,10,),"")</f>
        <v>0.25</v>
      </c>
      <c r="L454" s="265"/>
    </row>
    <row r="455" spans="1:12" s="232" customFormat="1" ht="33">
      <c r="A455" s="76" t="s">
        <v>101</v>
      </c>
      <c r="B455" s="77" t="str">
        <f>IFERROR(VLOOKUP($A455,[4]P.O.!$A:$J,2,),"")</f>
        <v>COMPS30059</v>
      </c>
      <c r="C455" s="77" t="str">
        <f>IFERROR(VLOOKUP($A455,[4]P.O.!$A:$J,3,),"")</f>
        <v>COMPOSIÇÃO</v>
      </c>
      <c r="D455" s="78" t="str">
        <f>IFERROR(VLOOKUP($A455,[4]P.O.!$A:$J,4,),"")</f>
        <v>FORNECIMENTO E INSTALAÇÃO DE ELETRODUTO CORRUGADO PEAD COR PRETA, ENTERRADO, φ1", FORNECIDO EM ROLOS DE 50m. REF.: TECHDUTO OU EQUIVALENTE TECNICO</v>
      </c>
      <c r="E455" s="91" t="str">
        <f>IFERROR(VLOOKUP($A455,[4]P.O.!$A:$J,5,),"")</f>
        <v>M</v>
      </c>
      <c r="F455" s="139">
        <f>IFERROR(VLOOKUP($A455,[4]P.O.!$A:$J,6,),"")</f>
        <v>90</v>
      </c>
      <c r="G455" s="140">
        <f>IFERROR(VLOOKUP($A455,[4]P.O.!$A:$J,7,),"")</f>
        <v>17.170000000000002</v>
      </c>
      <c r="H455" s="140">
        <f>IFERROR(VLOOKUP($A455,[4]P.O.!$A:$J,8,),"")</f>
        <v>21.46</v>
      </c>
      <c r="I455" s="140">
        <f>IFERROR(VLOOKUP($A455,[4]P.O.!$A:$J,9,),"")</f>
        <v>1931.4</v>
      </c>
      <c r="J455" s="159">
        <f t="shared" si="54"/>
        <v>9.0882291725211106E-4</v>
      </c>
      <c r="K455" s="145">
        <f>IFERROR(VLOOKUP($A455,[4]P.O.!$A:$J,10,),"")</f>
        <v>0.25</v>
      </c>
      <c r="L455" s="265"/>
    </row>
    <row r="456" spans="1:12" s="232" customFormat="1" ht="33">
      <c r="A456" s="76" t="s">
        <v>102</v>
      </c>
      <c r="B456" s="77" t="str">
        <f>IFERROR(VLOOKUP($A456,[4]P.O.!$A:$J,2,),"")</f>
        <v>COMPS30067</v>
      </c>
      <c r="C456" s="77" t="str">
        <f>IFERROR(VLOOKUP($A456,[4]P.O.!$A:$J,3,),"")</f>
        <v>COMPOSIÇÃO</v>
      </c>
      <c r="D456" s="78" t="str">
        <f>IFERROR(VLOOKUP($A456,[4]P.O.!$A:$J,4,),"")</f>
        <v>FORNECIMENTO E INSTALAÇÃO DE ELETRODUTO CORRUGADO PEAD COR PRETA, ENTERRADO, φ1.1/2", FORNECIDO EM ROLOS DE 50m. REF.: TECHDUTO OU EQUIVALENTE TECNICO</v>
      </c>
      <c r="E456" s="91" t="str">
        <f>IFERROR(VLOOKUP($A456,[4]P.O.!$A:$J,5,),"")</f>
        <v>M</v>
      </c>
      <c r="F456" s="139">
        <f>IFERROR(VLOOKUP($A456,[4]P.O.!$A:$J,6,),"")</f>
        <v>35</v>
      </c>
      <c r="G456" s="140">
        <f>IFERROR(VLOOKUP($A456,[4]P.O.!$A:$J,7,),"")</f>
        <v>17.560000000000002</v>
      </c>
      <c r="H456" s="140">
        <f>IFERROR(VLOOKUP($A456,[4]P.O.!$A:$J,8,),"")</f>
        <v>21.95</v>
      </c>
      <c r="I456" s="140">
        <f>IFERROR(VLOOKUP($A456,[4]P.O.!$A:$J,9,),"")</f>
        <v>768.25</v>
      </c>
      <c r="J456" s="159">
        <f t="shared" si="54"/>
        <v>3.6150109049339042E-4</v>
      </c>
      <c r="K456" s="145">
        <f>IFERROR(VLOOKUP($A456,[4]P.O.!$A:$J,10,),"")</f>
        <v>0.25</v>
      </c>
      <c r="L456" s="265"/>
    </row>
    <row r="457" spans="1:12" s="232" customFormat="1" ht="33">
      <c r="A457" s="76" t="s">
        <v>449</v>
      </c>
      <c r="B457" s="77" t="str">
        <f>IFERROR(VLOOKUP($A457,[4]P.O.!$A:$J,2,),"")</f>
        <v>COMPS30068</v>
      </c>
      <c r="C457" s="77" t="str">
        <f>IFERROR(VLOOKUP($A457,[4]P.O.!$A:$J,3,),"")</f>
        <v>COMPOSIÇÃO</v>
      </c>
      <c r="D457" s="78" t="str">
        <f>IFERROR(VLOOKUP($A457,[4]P.O.!$A:$J,4,),"")</f>
        <v>FORNECIMENTO E INSTALAÇÃO DE ELETRODUTO FLEXÍVEL CORRUGADO REFORÇADO PVC Ø3/4", FORNECIDO EM ROLOS DE 50m REF.: TIGRE OU EQUIVALENTE TECNICO</v>
      </c>
      <c r="E457" s="91" t="str">
        <f>IFERROR(VLOOKUP($A457,[4]P.O.!$A:$J,5,),"")</f>
        <v>M</v>
      </c>
      <c r="F457" s="139">
        <f>IFERROR(VLOOKUP($A457,[4]P.O.!$A:$J,6,),"")</f>
        <v>725</v>
      </c>
      <c r="G457" s="140">
        <f>IFERROR(VLOOKUP($A457,[4]P.O.!$A:$J,7,),"")</f>
        <v>4.18</v>
      </c>
      <c r="H457" s="140">
        <f>IFERROR(VLOOKUP($A457,[4]P.O.!$A:$J,8,),"")</f>
        <v>5.23</v>
      </c>
      <c r="I457" s="140">
        <f>IFERROR(VLOOKUP($A457,[4]P.O.!$A:$J,9,),"")</f>
        <v>3791.75</v>
      </c>
      <c r="J457" s="159">
        <f t="shared" si="54"/>
        <v>1.784213159620323E-3</v>
      </c>
      <c r="K457" s="145">
        <f>IFERROR(VLOOKUP($A457,[4]P.O.!$A:$J,10,),"")</f>
        <v>0.25</v>
      </c>
      <c r="L457" s="265"/>
    </row>
    <row r="458" spans="1:12" s="232" customFormat="1" ht="33">
      <c r="A458" s="76" t="s">
        <v>450</v>
      </c>
      <c r="B458" s="77" t="str">
        <f>IFERROR(VLOOKUP($A458,[4]P.O.!$A:$J,2,),"")</f>
        <v>COMPS30069</v>
      </c>
      <c r="C458" s="77" t="str">
        <f>IFERROR(VLOOKUP($A458,[4]P.O.!$A:$J,3,),"")</f>
        <v>COMPOSIÇÃO</v>
      </c>
      <c r="D458" s="78" t="str">
        <f>IFERROR(VLOOKUP($A458,[4]P.O.!$A:$J,4,),"")</f>
        <v>FORNECIMENTO E INSTALAÇÃO DE ELETRODUTO FLEXÍVEL CORRUGADO REFORÇADO PVC Ø1", FORNECIDO EM ROLOS DE 50m REF.: TIGRE OU EQUIVALENTE TECNICO</v>
      </c>
      <c r="E458" s="91" t="str">
        <f>IFERROR(VLOOKUP($A458,[4]P.O.!$A:$J,5,),"")</f>
        <v>M</v>
      </c>
      <c r="F458" s="139">
        <f>IFERROR(VLOOKUP($A458,[4]P.O.!$A:$J,6,),"")</f>
        <v>40</v>
      </c>
      <c r="G458" s="140">
        <f>IFERROR(VLOOKUP($A458,[4]P.O.!$A:$J,7,),"")</f>
        <v>5.92</v>
      </c>
      <c r="H458" s="140">
        <f>IFERROR(VLOOKUP($A458,[4]P.O.!$A:$J,8,),"")</f>
        <v>7.4</v>
      </c>
      <c r="I458" s="140">
        <f>IFERROR(VLOOKUP($A458,[4]P.O.!$A:$J,9,),"")</f>
        <v>296</v>
      </c>
      <c r="J458" s="159">
        <f t="shared" si="54"/>
        <v>1.3928320570913579E-4</v>
      </c>
      <c r="K458" s="145">
        <f>IFERROR(VLOOKUP($A458,[4]P.O.!$A:$J,10,),"")</f>
        <v>0.25</v>
      </c>
      <c r="L458" s="265"/>
    </row>
    <row r="459" spans="1:12" s="232" customFormat="1" ht="33">
      <c r="A459" s="76" t="s">
        <v>451</v>
      </c>
      <c r="B459" s="77">
        <f>IFERROR(VLOOKUP($A459,[4]P.O.!$A:$J,2,),"")</f>
        <v>72135</v>
      </c>
      <c r="C459" s="77" t="str">
        <f>IFERROR(VLOOKUP($A459,[4]P.O.!$A:$J,3,),"")</f>
        <v>SINAPI SERVIÇO</v>
      </c>
      <c r="D459" s="78" t="str">
        <f>IFERROR(VLOOKUP($A459,[4]P.O.!$A:$J,4,),"")</f>
        <v>ABERTURA/FECHAMENTO RASGO ALVENARIA PARA TUBOS, FECHAMENTO COM ARGAMAS   SA TRACO 1:1:6 (CIMENTO, CAL E AREIA)</v>
      </c>
      <c r="E459" s="91" t="str">
        <f>IFERROR(VLOOKUP($A459,[4]P.O.!$A:$J,5,),"")</f>
        <v>M</v>
      </c>
      <c r="F459" s="139">
        <f>IFERROR(VLOOKUP($A459,[4]P.O.!$A:$J,6,),"")</f>
        <v>236</v>
      </c>
      <c r="G459" s="140">
        <f>IFERROR(VLOOKUP($A459,[4]P.O.!$A:$J,7,),"")</f>
        <v>4.0199999999999996</v>
      </c>
      <c r="H459" s="140">
        <f>IFERROR(VLOOKUP($A459,[4]P.O.!$A:$J,8,),"")</f>
        <v>5.03</v>
      </c>
      <c r="I459" s="140">
        <f>IFERROR(VLOOKUP($A459,[4]P.O.!$A:$J,9,),"")</f>
        <v>1187.08</v>
      </c>
      <c r="J459" s="159">
        <f t="shared" si="54"/>
        <v>5.5858212105811119E-4</v>
      </c>
      <c r="K459" s="145">
        <f>IFERROR(VLOOKUP($A459,[4]P.O.!$A:$J,10,),"")</f>
        <v>0.25</v>
      </c>
      <c r="L459" s="265"/>
    </row>
    <row r="460" spans="1:12" s="232" customFormat="1" ht="49.5">
      <c r="A460" s="76" t="s">
        <v>452</v>
      </c>
      <c r="B460" s="77" t="str">
        <f>IFERROR(VLOOKUP($A460,[4]P.O.!$A:$J,2,),"")</f>
        <v>COMPS30016</v>
      </c>
      <c r="C460" s="77" t="str">
        <f>IFERROR(VLOOKUP($A460,[4]P.O.!$A:$J,3,),"")</f>
        <v>COMPOSIÇÃO</v>
      </c>
      <c r="D460" s="78" t="str">
        <f>IFERROR(VLOOKUP($A460,[4]P.O.!$A:$J,4,),"")</f>
        <v>FORNECIMENTO E INSTALAÇÃO DE CANALETAS EM TERMOPLÁSTICO AUTO-EXTINGUÍVEL SISTEMA X SEM DIVISÓRIAS, DIMENSÕES 20 x 10mm. FORNECIDO EM PEÇAS DE 2,10m. COR BRANCA REF.: 308 02 SISTEMA X DA PIAL LEGRAND OU EQUIVALENTE TECNICO</v>
      </c>
      <c r="E460" s="91" t="str">
        <f>IFERROR(VLOOKUP($A460,[4]P.O.!$A:$J,5,),"")</f>
        <v>PÇ</v>
      </c>
      <c r="F460" s="139">
        <f>IFERROR(VLOOKUP($A460,[4]P.O.!$A:$J,6,),"")</f>
        <v>18</v>
      </c>
      <c r="G460" s="140">
        <f>IFERROR(VLOOKUP($A460,[4]P.O.!$A:$J,7,),"")</f>
        <v>22.660000000000004</v>
      </c>
      <c r="H460" s="140">
        <f>IFERROR(VLOOKUP($A460,[4]P.O.!$A:$J,8,),"")</f>
        <v>28.33</v>
      </c>
      <c r="I460" s="140">
        <f>IFERROR(VLOOKUP($A460,[4]P.O.!$A:$J,9,),"")</f>
        <v>509.94</v>
      </c>
      <c r="J460" s="159">
        <f t="shared" si="54"/>
        <v>2.399529659436375E-4</v>
      </c>
      <c r="K460" s="145">
        <f>IFERROR(VLOOKUP($A460,[4]P.O.!$A:$J,10,),"")</f>
        <v>0.25</v>
      </c>
      <c r="L460" s="265"/>
    </row>
    <row r="461" spans="1:12" s="232" customFormat="1" ht="33">
      <c r="A461" s="76" t="s">
        <v>453</v>
      </c>
      <c r="B461" s="77" t="str">
        <f>IFERROR(VLOOKUP($A461,[4]P.O.!$A:$J,2,),"")</f>
        <v>73860/007</v>
      </c>
      <c r="C461" s="77" t="str">
        <f>IFERROR(VLOOKUP($A461,[4]P.O.!$A:$J,3,),"")</f>
        <v>SINAPI SERVIÇO</v>
      </c>
      <c r="D461" s="78" t="str">
        <f>IFERROR(VLOOKUP($A461,[4]P.O.!$A:$J,4,),"")</f>
        <v>CABO DE COBRE ISOLADO PVC 450/750V 1,5MM2 RESISTENTE A CHAMA - FORNECI   MENTO E INSTALACAO</v>
      </c>
      <c r="E461" s="91" t="str">
        <f>IFERROR(VLOOKUP($A461,[4]P.O.!$A:$J,5,),"")</f>
        <v>M</v>
      </c>
      <c r="F461" s="139">
        <f>IFERROR(VLOOKUP($A461,[4]P.O.!$A:$J,6,),"")</f>
        <v>1270</v>
      </c>
      <c r="G461" s="140">
        <f>IFERROR(VLOOKUP($A461,[4]P.O.!$A:$J,7,),"")</f>
        <v>2.2200000000000002</v>
      </c>
      <c r="H461" s="140">
        <f>IFERROR(VLOOKUP($A461,[4]P.O.!$A:$J,8,),"")</f>
        <v>2.78</v>
      </c>
      <c r="I461" s="140">
        <f>IFERROR(VLOOKUP($A461,[4]P.O.!$A:$J,9,),"")</f>
        <v>3530.6</v>
      </c>
      <c r="J461" s="159">
        <f t="shared" si="54"/>
        <v>1.6613286691779553E-3</v>
      </c>
      <c r="K461" s="145">
        <f>IFERROR(VLOOKUP($A461,[4]P.O.!$A:$J,10,),"")</f>
        <v>0.25</v>
      </c>
      <c r="L461" s="265"/>
    </row>
    <row r="462" spans="1:12" s="232" customFormat="1" ht="33">
      <c r="A462" s="76" t="s">
        <v>454</v>
      </c>
      <c r="B462" s="77" t="str">
        <f>IFERROR(VLOOKUP($A462,[4]P.O.!$A:$J,2,),"")</f>
        <v>73860/008</v>
      </c>
      <c r="C462" s="77" t="str">
        <f>IFERROR(VLOOKUP($A462,[4]P.O.!$A:$J,3,),"")</f>
        <v>SINAPI SERVIÇO</v>
      </c>
      <c r="D462" s="78" t="str">
        <f>IFERROR(VLOOKUP($A462,[4]P.O.!$A:$J,4,),"")</f>
        <v>CABO DE COBRE ISOLADO PVC 450/750V 2,5MM2 RESISTENTE A CHAMA - FORNECI   MENTO E INSTALACAO</v>
      </c>
      <c r="E462" s="91" t="str">
        <f>IFERROR(VLOOKUP($A462,[4]P.O.!$A:$J,5,),"")</f>
        <v>M</v>
      </c>
      <c r="F462" s="139">
        <f>IFERROR(VLOOKUP($A462,[4]P.O.!$A:$J,6,),"")</f>
        <v>3780</v>
      </c>
      <c r="G462" s="140">
        <f>IFERROR(VLOOKUP($A462,[4]P.O.!$A:$J,7,),"")</f>
        <v>2.94</v>
      </c>
      <c r="H462" s="140">
        <f>IFERROR(VLOOKUP($A462,[4]P.O.!$A:$J,8,),"")</f>
        <v>3.68</v>
      </c>
      <c r="I462" s="140">
        <f>IFERROR(VLOOKUP($A462,[4]P.O.!$A:$J,9,),"")</f>
        <v>13910.4</v>
      </c>
      <c r="J462" s="159">
        <f t="shared" si="54"/>
        <v>6.5455577861363596E-3</v>
      </c>
      <c r="K462" s="145">
        <f>IFERROR(VLOOKUP($A462,[4]P.O.!$A:$J,10,),"")</f>
        <v>0.25</v>
      </c>
      <c r="L462" s="265"/>
    </row>
    <row r="463" spans="1:12" s="232" customFormat="1" ht="33">
      <c r="A463" s="76" t="s">
        <v>455</v>
      </c>
      <c r="B463" s="77" t="str">
        <f>IFERROR(VLOOKUP($A463,[4]P.O.!$A:$J,2,),"")</f>
        <v>73860/009</v>
      </c>
      <c r="C463" s="77" t="str">
        <f>IFERROR(VLOOKUP($A463,[4]P.O.!$A:$J,3,),"")</f>
        <v>SINAPI SERVIÇO</v>
      </c>
      <c r="D463" s="78" t="str">
        <f>IFERROR(VLOOKUP($A463,[4]P.O.!$A:$J,4,),"")</f>
        <v>CABO DE COBRE ISOLADO PVC 450/750V 4MM2 RESISTENTE A CHAMA - FORNECIME   NTO E INSTALACAO</v>
      </c>
      <c r="E463" s="91" t="str">
        <f>IFERROR(VLOOKUP($A463,[4]P.O.!$A:$J,5,),"")</f>
        <v>M</v>
      </c>
      <c r="F463" s="139">
        <f>IFERROR(VLOOKUP($A463,[4]P.O.!$A:$J,6,),"")</f>
        <v>1635</v>
      </c>
      <c r="G463" s="140">
        <f>IFERROR(VLOOKUP($A463,[4]P.O.!$A:$J,7,),"")</f>
        <v>4.3600000000000003</v>
      </c>
      <c r="H463" s="140">
        <f>IFERROR(VLOOKUP($A463,[4]P.O.!$A:$J,8,),"")</f>
        <v>5.45</v>
      </c>
      <c r="I463" s="140">
        <f>IFERROR(VLOOKUP($A463,[4]P.O.!$A:$J,9,),"")</f>
        <v>8910.75</v>
      </c>
      <c r="J463" s="159">
        <f t="shared" si="54"/>
        <v>4.1929656259212219E-3</v>
      </c>
      <c r="K463" s="145">
        <f>IFERROR(VLOOKUP($A463,[4]P.O.!$A:$J,10,),"")</f>
        <v>0.25</v>
      </c>
      <c r="L463" s="265"/>
    </row>
    <row r="464" spans="1:12" s="232" customFormat="1" ht="33">
      <c r="A464" s="76" t="s">
        <v>456</v>
      </c>
      <c r="B464" s="77">
        <f>IFERROR(VLOOKUP($A464,[4]P.O.!$A:$J,2,),"")</f>
        <v>83416</v>
      </c>
      <c r="C464" s="77" t="str">
        <f>IFERROR(VLOOKUP($A464,[4]P.O.!$A:$J,3,),"")</f>
        <v>SINAPI SERVIÇO</v>
      </c>
      <c r="D464" s="78" t="str">
        <f>IFERROR(VLOOKUP($A464,[4]P.O.!$A:$J,4,),"")</f>
        <v>CABO DE COBRE ISOLAMENTO TERMOPLASTICO 0,6/1KV 1,5MM2 ANTI-CHAMA - FOR   NECIMENTO E INSTALACAO</v>
      </c>
      <c r="E464" s="91" t="str">
        <f>IFERROR(VLOOKUP($A464,[4]P.O.!$A:$J,5,),"")</f>
        <v>M</v>
      </c>
      <c r="F464" s="139">
        <f>IFERROR(VLOOKUP($A464,[4]P.O.!$A:$J,6,),"")</f>
        <v>1070</v>
      </c>
      <c r="G464" s="140">
        <f>IFERROR(VLOOKUP($A464,[4]P.O.!$A:$J,7,),"")</f>
        <v>2.66</v>
      </c>
      <c r="H464" s="140">
        <f>IFERROR(VLOOKUP($A464,[4]P.O.!$A:$J,8,),"")</f>
        <v>3.33</v>
      </c>
      <c r="I464" s="140">
        <f>IFERROR(VLOOKUP($A464,[4]P.O.!$A:$J,9,),"")</f>
        <v>3563.1</v>
      </c>
      <c r="J464" s="159">
        <f t="shared" si="54"/>
        <v>1.676621588723722E-3</v>
      </c>
      <c r="K464" s="145">
        <f>IFERROR(VLOOKUP($A464,[4]P.O.!$A:$J,10,),"")</f>
        <v>0.25</v>
      </c>
      <c r="L464" s="265"/>
    </row>
    <row r="465" spans="1:12" s="232" customFormat="1" ht="33">
      <c r="A465" s="76" t="s">
        <v>457</v>
      </c>
      <c r="B465" s="77">
        <f>IFERROR(VLOOKUP($A465,[4]P.O.!$A:$J,2,),"")</f>
        <v>83417</v>
      </c>
      <c r="C465" s="77" t="str">
        <f>IFERROR(VLOOKUP($A465,[4]P.O.!$A:$J,3,),"")</f>
        <v>SINAPI SERVIÇO</v>
      </c>
      <c r="D465" s="78" t="str">
        <f>IFERROR(VLOOKUP($A465,[4]P.O.!$A:$J,4,),"")</f>
        <v>CABO DE COBRE ISOLAMENTO TERMOPLASTICO 0,6/1KV 2,5MM2 ANTI-CHAMA - FOR   NECIMENTO E INSTALACAO</v>
      </c>
      <c r="E465" s="91" t="str">
        <f>IFERROR(VLOOKUP($A465,[4]P.O.!$A:$J,5,),"")</f>
        <v>M</v>
      </c>
      <c r="F465" s="139">
        <f>IFERROR(VLOOKUP($A465,[4]P.O.!$A:$J,6,),"")</f>
        <v>1067</v>
      </c>
      <c r="G465" s="140">
        <f>IFERROR(VLOOKUP($A465,[4]P.O.!$A:$J,7,),"")</f>
        <v>3.38</v>
      </c>
      <c r="H465" s="140">
        <f>IFERROR(VLOOKUP($A465,[4]P.O.!$A:$J,8,),"")</f>
        <v>4.2300000000000004</v>
      </c>
      <c r="I465" s="140">
        <f>IFERROR(VLOOKUP($A465,[4]P.O.!$A:$J,9,),"")</f>
        <v>4513.41</v>
      </c>
      <c r="J465" s="159">
        <f t="shared" si="54"/>
        <v>2.1237912617556435E-3</v>
      </c>
      <c r="K465" s="145">
        <f>IFERROR(VLOOKUP($A465,[4]P.O.!$A:$J,10,),"")</f>
        <v>0.25</v>
      </c>
      <c r="L465" s="265"/>
    </row>
    <row r="466" spans="1:12" s="232" customFormat="1" ht="33">
      <c r="A466" s="76" t="s">
        <v>458</v>
      </c>
      <c r="B466" s="77">
        <f>IFERROR(VLOOKUP($A466,[4]P.O.!$A:$J,2,),"")</f>
        <v>83418</v>
      </c>
      <c r="C466" s="77" t="str">
        <f>IFERROR(VLOOKUP($A466,[4]P.O.!$A:$J,3,),"")</f>
        <v>SINAPI SERVIÇO</v>
      </c>
      <c r="D466" s="78" t="str">
        <f>IFERROR(VLOOKUP($A466,[4]P.O.!$A:$J,4,),"")</f>
        <v>CABO DE COBRE ISOLAMENTO TERMOPLASTICO 0,6/1KV 4MM2 ANTI-CHAMA - FORNE   CIMENTO E INSTALACAO</v>
      </c>
      <c r="E466" s="91" t="str">
        <f>IFERROR(VLOOKUP($A466,[4]P.O.!$A:$J,5,),"")</f>
        <v>M</v>
      </c>
      <c r="F466" s="139">
        <f>IFERROR(VLOOKUP($A466,[4]P.O.!$A:$J,6,),"")</f>
        <v>240</v>
      </c>
      <c r="G466" s="140">
        <f>IFERROR(VLOOKUP($A466,[4]P.O.!$A:$J,7,),"")</f>
        <v>5.0199999999999996</v>
      </c>
      <c r="H466" s="140">
        <f>IFERROR(VLOOKUP($A466,[4]P.O.!$A:$J,8,),"")</f>
        <v>6.28</v>
      </c>
      <c r="I466" s="140">
        <f>IFERROR(VLOOKUP($A466,[4]P.O.!$A:$J,9,),"")</f>
        <v>1507.2</v>
      </c>
      <c r="J466" s="159">
        <f t="shared" si="54"/>
        <v>7.0921502582705904E-4</v>
      </c>
      <c r="K466" s="145">
        <f>IFERROR(VLOOKUP($A466,[4]P.O.!$A:$J,10,),"")</f>
        <v>0.25</v>
      </c>
      <c r="L466" s="265"/>
    </row>
    <row r="467" spans="1:12" s="232" customFormat="1" ht="33">
      <c r="A467" s="76" t="s">
        <v>459</v>
      </c>
      <c r="B467" s="77">
        <f>IFERROR(VLOOKUP($A467,[4]P.O.!$A:$J,2,),"")</f>
        <v>83419</v>
      </c>
      <c r="C467" s="77" t="str">
        <f>IFERROR(VLOOKUP($A467,[4]P.O.!$A:$J,3,),"")</f>
        <v>SINAPI SERVIÇO</v>
      </c>
      <c r="D467" s="78" t="str">
        <f>IFERROR(VLOOKUP($A467,[4]P.O.!$A:$J,4,),"")</f>
        <v>CABO DE COBRE ISOLAMENTO TERMOPLASTICO 0,6/1KV 6MM2 ANTI-CHAMA - FORNE   CIMENTO E INSTALACAO</v>
      </c>
      <c r="E467" s="91" t="str">
        <f>IFERROR(VLOOKUP($A467,[4]P.O.!$A:$J,5,),"")</f>
        <v>M</v>
      </c>
      <c r="F467" s="139">
        <f>IFERROR(VLOOKUP($A467,[4]P.O.!$A:$J,6,),"")</f>
        <v>440</v>
      </c>
      <c r="G467" s="140">
        <f>IFERROR(VLOOKUP($A467,[4]P.O.!$A:$J,7,),"")</f>
        <v>6.09</v>
      </c>
      <c r="H467" s="140">
        <f>IFERROR(VLOOKUP($A467,[4]P.O.!$A:$J,8,),"")</f>
        <v>7.61</v>
      </c>
      <c r="I467" s="140">
        <f>IFERROR(VLOOKUP($A467,[4]P.O.!$A:$J,9,),"")</f>
        <v>3348.4</v>
      </c>
      <c r="J467" s="159">
        <f t="shared" si="54"/>
        <v>1.5755942094475347E-3</v>
      </c>
      <c r="K467" s="145">
        <f>IFERROR(VLOOKUP($A467,[4]P.O.!$A:$J,10,),"")</f>
        <v>0.25</v>
      </c>
      <c r="L467" s="265"/>
    </row>
    <row r="468" spans="1:12" s="232" customFormat="1">
      <c r="A468" s="76" t="s">
        <v>460</v>
      </c>
      <c r="B468" s="77" t="str">
        <f>IFERROR(VLOOKUP($A468,[4]P.O.!$A:$J,2,),"")</f>
        <v>21615/001</v>
      </c>
      <c r="C468" s="77" t="str">
        <f>IFERROR(VLOOKUP($A468,[4]P.O.!$A:$J,3,),"")</f>
        <v>SINAPI COHAB</v>
      </c>
      <c r="D468" s="78" t="str">
        <f>IFERROR(VLOOKUP($A468,[4]P.O.!$A:$J,4,),"")</f>
        <v>COLOCACAO E INSTALACAO DE INTERRUPTOR DE EMBUTIR 1 SECAO</v>
      </c>
      <c r="E468" s="91" t="str">
        <f>IFERROR(VLOOKUP($A468,[4]P.O.!$A:$J,5,),"")</f>
        <v>UN</v>
      </c>
      <c r="F468" s="139">
        <f>IFERROR(VLOOKUP($A468,[4]P.O.!$A:$J,6,),"")</f>
        <v>3</v>
      </c>
      <c r="G468" s="140">
        <f>IFERROR(VLOOKUP($A468,[4]P.O.!$A:$J,7,),"")</f>
        <v>15.21</v>
      </c>
      <c r="H468" s="140">
        <f>IFERROR(VLOOKUP($A468,[4]P.O.!$A:$J,8,),"")</f>
        <v>19.010000000000002</v>
      </c>
      <c r="I468" s="140">
        <f>IFERROR(VLOOKUP($A468,[4]P.O.!$A:$J,9,),"")</f>
        <v>57.03</v>
      </c>
      <c r="J468" s="159">
        <f t="shared" si="54"/>
        <v>2.6835544667540589E-5</v>
      </c>
      <c r="K468" s="145">
        <f>IFERROR(VLOOKUP($A468,[4]P.O.!$A:$J,10,),"")</f>
        <v>0.25</v>
      </c>
      <c r="L468" s="265"/>
    </row>
    <row r="469" spans="1:12" s="232" customFormat="1" ht="33">
      <c r="A469" s="76" t="s">
        <v>461</v>
      </c>
      <c r="B469" s="77">
        <f>IFERROR(VLOOKUP($A469,[4]P.O.!$A:$J,2,),"")</f>
        <v>72332</v>
      </c>
      <c r="C469" s="77" t="str">
        <f>IFERROR(VLOOKUP($A469,[4]P.O.!$A:$J,3,),"")</f>
        <v>SINAPI SERVIÇO</v>
      </c>
      <c r="D469" s="78" t="str">
        <f>IFERROR(VLOOKUP($A469,[4]P.O.!$A:$J,4,),"")</f>
        <v>INTERRUPTOR SIMPLES DE EMBUTIR 10A/250V 2 TECLAS, COM PLACA - FORNECIM   ENTO E INSTALACAO</v>
      </c>
      <c r="E469" s="91" t="str">
        <f>IFERROR(VLOOKUP($A469,[4]P.O.!$A:$J,5,),"")</f>
        <v>UN</v>
      </c>
      <c r="F469" s="139">
        <f>IFERROR(VLOOKUP($A469,[4]P.O.!$A:$J,6,),"")</f>
        <v>5</v>
      </c>
      <c r="G469" s="140">
        <f>IFERROR(VLOOKUP($A469,[4]P.O.!$A:$J,7,),"")</f>
        <v>20.39</v>
      </c>
      <c r="H469" s="140">
        <f>IFERROR(VLOOKUP($A469,[4]P.O.!$A:$J,8,),"")</f>
        <v>25.49</v>
      </c>
      <c r="I469" s="140">
        <f>IFERROR(VLOOKUP($A469,[4]P.O.!$A:$J,9,),"")</f>
        <v>127.45</v>
      </c>
      <c r="J469" s="159">
        <f t="shared" si="54"/>
        <v>5.9971772187937011E-5</v>
      </c>
      <c r="K469" s="145">
        <f>IFERROR(VLOOKUP($A469,[4]P.O.!$A:$J,10,),"")</f>
        <v>0.25</v>
      </c>
      <c r="L469" s="265"/>
    </row>
    <row r="470" spans="1:12" s="232" customFormat="1" ht="33">
      <c r="A470" s="76" t="s">
        <v>462</v>
      </c>
      <c r="B470" s="77">
        <f>IFERROR(VLOOKUP($A470,[4]P.O.!$A:$J,2,),"")</f>
        <v>83467</v>
      </c>
      <c r="C470" s="77" t="str">
        <f>IFERROR(VLOOKUP($A470,[4]P.O.!$A:$J,3,),"")</f>
        <v>SINAPI SERVIÇO</v>
      </c>
      <c r="D470" s="78" t="str">
        <f>IFERROR(VLOOKUP($A470,[4]P.O.!$A:$J,4,),"")</f>
        <v>INTERRUPTOR SIMPLES DE EMBUTIR 10A/250V 3 TECLAS, COM PLACA - FORNECIM   ENTO E INSTALACAO</v>
      </c>
      <c r="E470" s="91" t="str">
        <f>IFERROR(VLOOKUP($A470,[4]P.O.!$A:$J,5,),"")</f>
        <v>UN</v>
      </c>
      <c r="F470" s="139">
        <f>IFERROR(VLOOKUP($A470,[4]P.O.!$A:$J,6,),"")</f>
        <v>11</v>
      </c>
      <c r="G470" s="140">
        <f>IFERROR(VLOOKUP($A470,[4]P.O.!$A:$J,7,),"")</f>
        <v>31.1</v>
      </c>
      <c r="H470" s="140">
        <f>IFERROR(VLOOKUP($A470,[4]P.O.!$A:$J,8,),"")</f>
        <v>38.880000000000003</v>
      </c>
      <c r="I470" s="140">
        <f>IFERROR(VLOOKUP($A470,[4]P.O.!$A:$J,9,),"")</f>
        <v>427.68</v>
      </c>
      <c r="J470" s="159">
        <f t="shared" si="54"/>
        <v>2.0124541019487567E-4</v>
      </c>
      <c r="K470" s="145">
        <f>IFERROR(VLOOKUP($A470,[4]P.O.!$A:$J,10,),"")</f>
        <v>0.25</v>
      </c>
      <c r="L470" s="265"/>
    </row>
    <row r="471" spans="1:12" s="232" customFormat="1" ht="33">
      <c r="A471" s="76" t="s">
        <v>463</v>
      </c>
      <c r="B471" s="77" t="str">
        <f>IFERROR(VLOOKUP($A471,[4]P.O.!$A:$J,2,),"")</f>
        <v>COMPS30030</v>
      </c>
      <c r="C471" s="77" t="str">
        <f>IFERROR(VLOOKUP($A471,[4]P.O.!$A:$J,3,),"")</f>
        <v>COMPOSIÇÃO</v>
      </c>
      <c r="D471" s="78" t="str">
        <f>IFERROR(VLOOKUP($A471,[4]P.O.!$A:$J,4,),"")</f>
        <v>INTERRUPTOR PARALELO DE EMBUTIR 10A/250V 2 TECLAS, COM PLACA - FORNECIMENTO E INSTALACAO</v>
      </c>
      <c r="E471" s="91" t="str">
        <f>IFERROR(VLOOKUP($A471,[4]P.O.!$A:$J,5,),"")</f>
        <v>UN</v>
      </c>
      <c r="F471" s="139">
        <f>IFERROR(VLOOKUP($A471,[4]P.O.!$A:$J,6,),"")</f>
        <v>2</v>
      </c>
      <c r="G471" s="140">
        <f>IFERROR(VLOOKUP($A471,[4]P.O.!$A:$J,7,),"")</f>
        <v>25.130000000000003</v>
      </c>
      <c r="H471" s="140">
        <f>IFERROR(VLOOKUP($A471,[4]P.O.!$A:$J,8,),"")</f>
        <v>31.41</v>
      </c>
      <c r="I471" s="140">
        <f>IFERROR(VLOOKUP($A471,[4]P.O.!$A:$J,9,),"")</f>
        <v>62.82</v>
      </c>
      <c r="J471" s="159">
        <f t="shared" si="54"/>
        <v>2.9560037103540236E-5</v>
      </c>
      <c r="K471" s="145">
        <f>IFERROR(VLOOKUP($A471,[4]P.O.!$A:$J,10,),"")</f>
        <v>0.25</v>
      </c>
      <c r="L471" s="265"/>
    </row>
    <row r="472" spans="1:12" s="232" customFormat="1" ht="33">
      <c r="A472" s="76" t="s">
        <v>464</v>
      </c>
      <c r="B472" s="77">
        <f>IFERROR(VLOOKUP($A472,[4]P.O.!$A:$J,2,),"")</f>
        <v>83466</v>
      </c>
      <c r="C472" s="77" t="str">
        <f>IFERROR(VLOOKUP($A472,[4]P.O.!$A:$J,3,),"")</f>
        <v>SINAPI SERVIÇO</v>
      </c>
      <c r="D472" s="78" t="str">
        <f>IFERROR(VLOOKUP($A472,[4]P.O.!$A:$J,4,),"")</f>
        <v>INTERRUPTOR SIMPLES COM 1 TOMADA UNIVERSAL CONJUGADOS COM PLACA - FORN   ECIMENTO E INSTALACAO</v>
      </c>
      <c r="E472" s="91" t="str">
        <f>IFERROR(VLOOKUP($A472,[4]P.O.!$A:$J,5,),"")</f>
        <v>UN</v>
      </c>
      <c r="F472" s="139">
        <f>IFERROR(VLOOKUP($A472,[4]P.O.!$A:$J,6,),"")</f>
        <v>8</v>
      </c>
      <c r="G472" s="140">
        <f>IFERROR(VLOOKUP($A472,[4]P.O.!$A:$J,7,),"")</f>
        <v>23.48</v>
      </c>
      <c r="H472" s="140">
        <f>IFERROR(VLOOKUP($A472,[4]P.O.!$A:$J,8,),"")</f>
        <v>29.35</v>
      </c>
      <c r="I472" s="140">
        <f>IFERROR(VLOOKUP($A472,[4]P.O.!$A:$J,9,),"")</f>
        <v>234.8</v>
      </c>
      <c r="J472" s="159">
        <f t="shared" si="54"/>
        <v>1.1048546182603069E-4</v>
      </c>
      <c r="K472" s="145">
        <f>IFERROR(VLOOKUP($A472,[4]P.O.!$A:$J,10,),"")</f>
        <v>0.25</v>
      </c>
      <c r="L472" s="265"/>
    </row>
    <row r="473" spans="1:12" s="232" customFormat="1" ht="49.5">
      <c r="A473" s="76" t="s">
        <v>465</v>
      </c>
      <c r="B473" s="77" t="str">
        <f>IFERROR(VLOOKUP($A473,[4]P.O.!$A:$J,2,),"")</f>
        <v>COMPS30031</v>
      </c>
      <c r="C473" s="77" t="str">
        <f>IFERROR(VLOOKUP($A473,[4]P.O.!$A:$J,3,),"")</f>
        <v>COMPOSIÇÃO</v>
      </c>
      <c r="D473" s="78" t="str">
        <f>IFERROR(VLOOKUP($A473,[4]P.O.!$A:$J,4,),"")</f>
        <v>FORNECIMENTO E INSTALAÇÃO DE INTERRUPTOR UNIPOLAR DE 1 TECLA SIMPLES DE SOBREPOR, SISTEMA X REF.: 6750 00 WORKSTATION DA PIAL LEGRAND OU EQUIVALENTE TECNICO</v>
      </c>
      <c r="E473" s="91" t="str">
        <f>IFERROR(VLOOKUP($A473,[4]P.O.!$A:$J,5,),"")</f>
        <v>PÇ</v>
      </c>
      <c r="F473" s="139">
        <f>IFERROR(VLOOKUP($A473,[4]P.O.!$A:$J,6,),"")</f>
        <v>1</v>
      </c>
      <c r="G473" s="140">
        <f>IFERROR(VLOOKUP($A473,[4]P.O.!$A:$J,7,),"")</f>
        <v>12.299999999999999</v>
      </c>
      <c r="H473" s="140">
        <f>IFERROR(VLOOKUP($A473,[4]P.O.!$A:$J,8,),"")</f>
        <v>15.38</v>
      </c>
      <c r="I473" s="140">
        <f>IFERROR(VLOOKUP($A473,[4]P.O.!$A:$J,9,),"")</f>
        <v>15.38</v>
      </c>
      <c r="J473" s="159">
        <f t="shared" si="54"/>
        <v>7.2370800804273936E-6</v>
      </c>
      <c r="K473" s="145">
        <f>IFERROR(VLOOKUP($A473,[4]P.O.!$A:$J,10,),"")</f>
        <v>0.25</v>
      </c>
      <c r="L473" s="265"/>
    </row>
    <row r="474" spans="1:12" s="232" customFormat="1" ht="49.5">
      <c r="A474" s="76" t="s">
        <v>466</v>
      </c>
      <c r="B474" s="77" t="str">
        <f>IFERROR(VLOOKUP($A474,[4]P.O.!$A:$J,2,),"")</f>
        <v>COMPS30032</v>
      </c>
      <c r="C474" s="77" t="str">
        <f>IFERROR(VLOOKUP($A474,[4]P.O.!$A:$J,3,),"")</f>
        <v>COMPOSIÇÃO</v>
      </c>
      <c r="D474" s="78" t="str">
        <f>IFERROR(VLOOKUP($A474,[4]P.O.!$A:$J,4,),"")</f>
        <v>FORNECIMENTO E INSTALAÇÃO DE INTERRUPTOR UNIPOLAR DE 2 TECLAS SIMPLES DE SOBREPOR, SISTEMA X REF.: 6750 20 WORKSTATION DA PIAL LEGRAND OU EQUIVALENTE TECNICO</v>
      </c>
      <c r="E474" s="91" t="str">
        <f>IFERROR(VLOOKUP($A474,[4]P.O.!$A:$J,5,),"")</f>
        <v>PÇ</v>
      </c>
      <c r="F474" s="139">
        <f>IFERROR(VLOOKUP($A474,[4]P.O.!$A:$J,6,),"")</f>
        <v>6</v>
      </c>
      <c r="G474" s="140">
        <f>IFERROR(VLOOKUP($A474,[4]P.O.!$A:$J,7,),"")</f>
        <v>13.29</v>
      </c>
      <c r="H474" s="140">
        <f>IFERROR(VLOOKUP($A474,[4]P.O.!$A:$J,8,),"")</f>
        <v>16.61</v>
      </c>
      <c r="I474" s="140">
        <f>IFERROR(VLOOKUP($A474,[4]P.O.!$A:$J,9,),"")</f>
        <v>99.66</v>
      </c>
      <c r="J474" s="159">
        <f t="shared" si="54"/>
        <v>4.6895149597879973E-5</v>
      </c>
      <c r="K474" s="145">
        <f>IFERROR(VLOOKUP($A474,[4]P.O.!$A:$J,10,),"")</f>
        <v>0.25</v>
      </c>
      <c r="L474" s="265"/>
    </row>
    <row r="475" spans="1:12" s="232" customFormat="1" ht="33">
      <c r="A475" s="76" t="s">
        <v>467</v>
      </c>
      <c r="B475" s="77" t="str">
        <f>IFERROR(VLOOKUP($A475,[4]P.O.!$A:$J,2,),"")</f>
        <v>COMPS30033</v>
      </c>
      <c r="C475" s="77" t="str">
        <f>IFERROR(VLOOKUP($A475,[4]P.O.!$A:$J,3,),"")</f>
        <v>COMPOSIÇÃO</v>
      </c>
      <c r="D475" s="78" t="str">
        <f>IFERROR(VLOOKUP($A475,[4]P.O.!$A:$J,4,),"")</f>
        <v>FORNECIMENTO E INSTALAÇÃO DE TOMADA SIMPLES DE SOBREPOR 2P+T  - 10A-250V~ , SISTEMA X REF.: 6750 60 WORKSTATION DA PIAL LEGRAND OU EQUIVALENTE TECNICO</v>
      </c>
      <c r="E475" s="91" t="str">
        <f>IFERROR(VLOOKUP($A475,[4]P.O.!$A:$J,5,),"")</f>
        <v>PÇ</v>
      </c>
      <c r="F475" s="139">
        <f>IFERROR(VLOOKUP($A475,[4]P.O.!$A:$J,6,),"")</f>
        <v>1</v>
      </c>
      <c r="G475" s="140">
        <f>IFERROR(VLOOKUP($A475,[4]P.O.!$A:$J,7,),"")</f>
        <v>23.7</v>
      </c>
      <c r="H475" s="140">
        <f>IFERROR(VLOOKUP($A475,[4]P.O.!$A:$J,8,),"")</f>
        <v>29.63</v>
      </c>
      <c r="I475" s="140">
        <f>IFERROR(VLOOKUP($A475,[4]P.O.!$A:$J,9,),"")</f>
        <v>29.63</v>
      </c>
      <c r="J475" s="159">
        <f t="shared" si="54"/>
        <v>1.3942437112032747E-5</v>
      </c>
      <c r="K475" s="145">
        <f>IFERROR(VLOOKUP($A475,[4]P.O.!$A:$J,10,),"")</f>
        <v>0.25</v>
      </c>
      <c r="L475" s="265"/>
    </row>
    <row r="476" spans="1:12" s="232" customFormat="1" ht="33">
      <c r="A476" s="76" t="s">
        <v>468</v>
      </c>
      <c r="B476" s="77" t="str">
        <f>IFERROR(VLOOKUP($A476,[4]P.O.!$A:$J,2,),"")</f>
        <v>COMPS30034</v>
      </c>
      <c r="C476" s="77" t="str">
        <f>IFERROR(VLOOKUP($A476,[4]P.O.!$A:$J,3,),"")</f>
        <v>COMPOSIÇÃO</v>
      </c>
      <c r="D476" s="78" t="str">
        <f>IFERROR(VLOOKUP($A476,[4]P.O.!$A:$J,4,),"")</f>
        <v>FORNECIMENTO E INSTALAÇÃO DE TOMADA DUPLA DE SOBREPOR 2P+T  - 10A-250V~ , SISTEMA X REF.: 6750 62 WORKSTATION DA PIAL LEGRAND OU EQUIVALENTE TECNICO</v>
      </c>
      <c r="E476" s="91" t="str">
        <f>IFERROR(VLOOKUP($A476,[4]P.O.!$A:$J,5,),"")</f>
        <v>PÇ</v>
      </c>
      <c r="F476" s="139">
        <f>IFERROR(VLOOKUP($A476,[4]P.O.!$A:$J,6,),"")</f>
        <v>1</v>
      </c>
      <c r="G476" s="140">
        <f>IFERROR(VLOOKUP($A476,[4]P.O.!$A:$J,7,),"")</f>
        <v>25.34</v>
      </c>
      <c r="H476" s="140">
        <f>IFERROR(VLOOKUP($A476,[4]P.O.!$A:$J,8,),"")</f>
        <v>31.68</v>
      </c>
      <c r="I476" s="140">
        <f>IFERROR(VLOOKUP($A476,[4]P.O.!$A:$J,9,),"")</f>
        <v>31.68</v>
      </c>
      <c r="J476" s="159">
        <f t="shared" si="54"/>
        <v>1.4907067421842641E-5</v>
      </c>
      <c r="K476" s="145">
        <f>IFERROR(VLOOKUP($A476,[4]P.O.!$A:$J,10,),"")</f>
        <v>0.25</v>
      </c>
      <c r="L476" s="265"/>
    </row>
    <row r="477" spans="1:12" s="232" customFormat="1">
      <c r="A477" s="76" t="s">
        <v>469</v>
      </c>
      <c r="B477" s="77">
        <f>IFERROR(VLOOKUP($A477,[4]P.O.!$A:$J,2,),"")</f>
        <v>83566</v>
      </c>
      <c r="C477" s="77" t="str">
        <f>IFERROR(VLOOKUP($A477,[4]P.O.!$A:$J,3,),"")</f>
        <v>SINAPI SERVIÇO</v>
      </c>
      <c r="D477" s="78" t="str">
        <f>IFERROR(VLOOKUP($A477,[4]P.O.!$A:$J,4,),"")</f>
        <v>TOMADA DE EMBUTIR 2P+T 20A/250V C/ PLACA - FORNECIMENTO E INSTALACAO</v>
      </c>
      <c r="E477" s="91" t="str">
        <f>IFERROR(VLOOKUP($A477,[4]P.O.!$A:$J,5,),"")</f>
        <v>UN</v>
      </c>
      <c r="F477" s="139">
        <f>IFERROR(VLOOKUP($A477,[4]P.O.!$A:$J,6,),"")</f>
        <v>17</v>
      </c>
      <c r="G477" s="140">
        <f>IFERROR(VLOOKUP($A477,[4]P.O.!$A:$J,7,),"")</f>
        <v>22.96</v>
      </c>
      <c r="H477" s="140">
        <f>IFERROR(VLOOKUP($A477,[4]P.O.!$A:$J,8,),"")</f>
        <v>28.7</v>
      </c>
      <c r="I477" s="140">
        <f>IFERROR(VLOOKUP($A477,[4]P.O.!$A:$J,9,),"")</f>
        <v>487.9</v>
      </c>
      <c r="J477" s="159">
        <f t="shared" si="54"/>
        <v>2.2958201373475456E-4</v>
      </c>
      <c r="K477" s="145">
        <f>IFERROR(VLOOKUP($A477,[4]P.O.!$A:$J,10,),"")</f>
        <v>0.25</v>
      </c>
      <c r="L477" s="265"/>
    </row>
    <row r="478" spans="1:12" s="232" customFormat="1">
      <c r="A478" s="76" t="s">
        <v>470</v>
      </c>
      <c r="B478" s="77">
        <f>IFERROR(VLOOKUP($A478,[4]P.O.!$A:$J,2,),"")</f>
        <v>83555</v>
      </c>
      <c r="C478" s="77" t="str">
        <f>IFERROR(VLOOKUP($A478,[4]P.O.!$A:$J,3,),"")</f>
        <v>SINAPI SERVIÇO</v>
      </c>
      <c r="D478" s="78" t="str">
        <f>IFERROR(VLOOKUP($A478,[4]P.O.!$A:$J,4,),"")</f>
        <v>TOMADA DUPLA DE EMBUTIR 2X2P+T 10A/250V C/ PLACA - FORNECIMENTO E INST   ALACAO</v>
      </c>
      <c r="E478" s="91" t="str">
        <f>IFERROR(VLOOKUP($A478,[4]P.O.!$A:$J,5,),"")</f>
        <v>UN</v>
      </c>
      <c r="F478" s="139">
        <f>IFERROR(VLOOKUP($A478,[4]P.O.!$A:$J,6,),"")</f>
        <v>28</v>
      </c>
      <c r="G478" s="140">
        <f>IFERROR(VLOOKUP($A478,[4]P.O.!$A:$J,7,),"")</f>
        <v>22.84</v>
      </c>
      <c r="H478" s="140">
        <f>IFERROR(VLOOKUP($A478,[4]P.O.!$A:$J,8,),"")</f>
        <v>28.55</v>
      </c>
      <c r="I478" s="140">
        <f>IFERROR(VLOOKUP($A478,[4]P.O.!$A:$J,9,),"")</f>
        <v>799.4</v>
      </c>
      <c r="J478" s="159">
        <f t="shared" si="54"/>
        <v>3.761587656887944E-4</v>
      </c>
      <c r="K478" s="145">
        <f>IFERROR(VLOOKUP($A478,[4]P.O.!$A:$J,10,),"")</f>
        <v>0.25</v>
      </c>
      <c r="L478" s="265"/>
    </row>
    <row r="479" spans="1:12" s="232" customFormat="1" ht="49.5">
      <c r="A479" s="76" t="s">
        <v>471</v>
      </c>
      <c r="B479" s="77" t="str">
        <f>IFERROR(VLOOKUP($A479,[4]P.O.!$A:$J,2,),"")</f>
        <v>COMPS30035</v>
      </c>
      <c r="C479" s="77" t="str">
        <f>IFERROR(VLOOKUP($A479,[4]P.O.!$A:$J,3,),"")</f>
        <v>COMPOSIÇÃO</v>
      </c>
      <c r="D479" s="78" t="str">
        <f>IFERROR(VLOOKUP($A479,[4]P.O.!$A:$J,4,),"")</f>
        <v>FORNECIMENTO E INSTALAÇÃO DE COLUNETE DLP DE ALTURA FIXA 0,68m. CORPO EM ALUMÍNIO, COM QUATRO FACES EQUIPÁVEIS, PARA SEPARAÇÃO DO CABEAMENTO DE ELÉTRICA E VDI, REF.: 307 42 WORKPLUS DA PIAL LEGRAND OU EQUIVALENTE TECNICO</v>
      </c>
      <c r="E479" s="91" t="str">
        <f>IFERROR(VLOOKUP($A479,[4]P.O.!$A:$J,5,),"")</f>
        <v>PÇ</v>
      </c>
      <c r="F479" s="139">
        <f>IFERROR(VLOOKUP($A479,[4]P.O.!$A:$J,6,),"")</f>
        <v>8</v>
      </c>
      <c r="G479" s="140">
        <f>IFERROR(VLOOKUP($A479,[4]P.O.!$A:$J,7,),"")</f>
        <v>546.77</v>
      </c>
      <c r="H479" s="140">
        <f>IFERROR(VLOOKUP($A479,[4]P.O.!$A:$J,8,),"")</f>
        <v>683.46</v>
      </c>
      <c r="I479" s="140">
        <f>IFERROR(VLOOKUP($A479,[4]P.O.!$A:$J,9,),"")</f>
        <v>5467.68</v>
      </c>
      <c r="J479" s="159">
        <f t="shared" si="54"/>
        <v>2.5728243182152957E-3</v>
      </c>
      <c r="K479" s="145">
        <f>IFERROR(VLOOKUP($A479,[4]P.O.!$A:$J,10,),"")</f>
        <v>0.25</v>
      </c>
      <c r="L479" s="265"/>
    </row>
    <row r="480" spans="1:12" s="232" customFormat="1" ht="33">
      <c r="A480" s="76" t="s">
        <v>472</v>
      </c>
      <c r="B480" s="77" t="str">
        <f>IFERROR(VLOOKUP($A480,[4]P.O.!$A:$J,2,),"")</f>
        <v>COMPS30036</v>
      </c>
      <c r="C480" s="77" t="str">
        <f>IFERROR(VLOOKUP($A480,[4]P.O.!$A:$J,3,),"")</f>
        <v>COMPOSIÇÃO</v>
      </c>
      <c r="D480" s="78" t="str">
        <f>IFERROR(VLOOKUP($A480,[4]P.O.!$A:$J,4,),"")</f>
        <v>FORNECIMENTO E INSTALAÇÃO DE SUPORTE PIALPLUS PARA COLUNETE REF.: 306 37 WORKPLUS DA PIAL LEGRAND OU EQUIVALENTE TECNICO</v>
      </c>
      <c r="E480" s="91" t="str">
        <f>IFERROR(VLOOKUP($A480,[4]P.O.!$A:$J,5,),"")</f>
        <v>PÇ</v>
      </c>
      <c r="F480" s="139">
        <f>IFERROR(VLOOKUP($A480,[4]P.O.!$A:$J,6,),"")</f>
        <v>16</v>
      </c>
      <c r="G480" s="140">
        <f>IFERROR(VLOOKUP($A480,[4]P.O.!$A:$J,7,),"")</f>
        <v>3.19</v>
      </c>
      <c r="H480" s="140">
        <f>IFERROR(VLOOKUP($A480,[4]P.O.!$A:$J,8,),"")</f>
        <v>3.99</v>
      </c>
      <c r="I480" s="140">
        <f>IFERROR(VLOOKUP($A480,[4]P.O.!$A:$J,9,),"")</f>
        <v>63.84</v>
      </c>
      <c r="J480" s="159">
        <f t="shared" si="54"/>
        <v>3.0039999501591991E-5</v>
      </c>
      <c r="K480" s="145">
        <f>IFERROR(VLOOKUP($A480,[4]P.O.!$A:$J,10,),"")</f>
        <v>0.25</v>
      </c>
      <c r="L480" s="265"/>
    </row>
    <row r="481" spans="1:12" s="232" customFormat="1" ht="33">
      <c r="A481" s="76" t="s">
        <v>473</v>
      </c>
      <c r="B481" s="77" t="str">
        <f>IFERROR(VLOOKUP($A481,[4]P.O.!$A:$J,2,),"")</f>
        <v>COMPS30037</v>
      </c>
      <c r="C481" s="77" t="str">
        <f>IFERROR(VLOOKUP($A481,[4]P.O.!$A:$J,3,),"")</f>
        <v>COMPOSIÇÃO</v>
      </c>
      <c r="D481" s="78" t="str">
        <f>IFERROR(VLOOKUP($A481,[4]P.O.!$A:$J,4,),"")</f>
        <v>FORNECIMENTO E INSTALAÇÃO DE PLACA PARA COLUNETE DLP, PARA MÓDULOS PIALPLUS, COM DOIS POSTOS REF.: 6487 31 WORKPLUS DA PIAL LEGRAND OU EQUIVALENTE TECNICO</v>
      </c>
      <c r="E481" s="91" t="str">
        <f>IFERROR(VLOOKUP($A481,[4]P.O.!$A:$J,5,),"")</f>
        <v>PÇ</v>
      </c>
      <c r="F481" s="139">
        <f>IFERROR(VLOOKUP($A481,[4]P.O.!$A:$J,6,),"")</f>
        <v>8</v>
      </c>
      <c r="G481" s="140">
        <f>IFERROR(VLOOKUP($A481,[4]P.O.!$A:$J,7,),"")</f>
        <v>5.3599999999999994</v>
      </c>
      <c r="H481" s="140">
        <f>IFERROR(VLOOKUP($A481,[4]P.O.!$A:$J,8,),"")</f>
        <v>6.7</v>
      </c>
      <c r="I481" s="140">
        <f>IFERROR(VLOOKUP($A481,[4]P.O.!$A:$J,9,),"")</f>
        <v>53.6</v>
      </c>
      <c r="J481" s="159">
        <f t="shared" si="54"/>
        <v>2.5221553466248914E-5</v>
      </c>
      <c r="K481" s="145">
        <f>IFERROR(VLOOKUP($A481,[4]P.O.!$A:$J,10,),"")</f>
        <v>0.25</v>
      </c>
      <c r="L481" s="265"/>
    </row>
    <row r="482" spans="1:12" s="232" customFormat="1" ht="33">
      <c r="A482" s="76" t="s">
        <v>474</v>
      </c>
      <c r="B482" s="77" t="str">
        <f>IFERROR(VLOOKUP($A482,[4]P.O.!$A:$J,2,),"")</f>
        <v>COMPS30038</v>
      </c>
      <c r="C482" s="77" t="str">
        <f>IFERROR(VLOOKUP($A482,[4]P.O.!$A:$J,3,),"")</f>
        <v>COMPOSIÇÃO</v>
      </c>
      <c r="D482" s="78" t="str">
        <f>IFERROR(VLOOKUP($A482,[4]P.O.!$A:$J,4,),"")</f>
        <v>FORNECIMENTO E INSTALAÇÃO DE MÓDULO DE TOMADA 2P+T 10A COM IDENTIFICADOR DE TENSÃO. COR BRANCA REF.: 6150 40 PIALPLUS DA PIAL LEGRAND OU EQUIVALENTE TECNICO</v>
      </c>
      <c r="E482" s="91" t="str">
        <f>IFERROR(VLOOKUP($A482,[4]P.O.!$A:$J,5,),"")</f>
        <v>PÇ</v>
      </c>
      <c r="F482" s="139">
        <f>IFERROR(VLOOKUP($A482,[4]P.O.!$A:$J,6,),"")</f>
        <v>24</v>
      </c>
      <c r="G482" s="140">
        <f>IFERROR(VLOOKUP($A482,[4]P.O.!$A:$J,7,),"")</f>
        <v>16.45</v>
      </c>
      <c r="H482" s="140">
        <f>IFERROR(VLOOKUP($A482,[4]P.O.!$A:$J,8,),"")</f>
        <v>20.56</v>
      </c>
      <c r="I482" s="140">
        <f>IFERROR(VLOOKUP($A482,[4]P.O.!$A:$J,9,),"")</f>
        <v>493.44</v>
      </c>
      <c r="J482" s="159">
        <f t="shared" si="54"/>
        <v>2.3218886832809447E-4</v>
      </c>
      <c r="K482" s="145">
        <f>IFERROR(VLOOKUP($A482,[4]P.O.!$A:$J,10,),"")</f>
        <v>0.25</v>
      </c>
      <c r="L482" s="265"/>
    </row>
    <row r="483" spans="1:12" s="232" customFormat="1" ht="49.5">
      <c r="A483" s="76" t="s">
        <v>475</v>
      </c>
      <c r="B483" s="77" t="str">
        <f>IFERROR(VLOOKUP($A483,[4]P.O.!$A:$J,2,),"")</f>
        <v>COMPS30039</v>
      </c>
      <c r="C483" s="77" t="str">
        <f>IFERROR(VLOOKUP($A483,[4]P.O.!$A:$J,3,),"")</f>
        <v>COMPOSIÇÃO</v>
      </c>
      <c r="D483" s="78" t="str">
        <f>IFERROR(VLOOKUP($A483,[4]P.O.!$A:$J,4,),"")</f>
        <v>FORNECIMENTO E INSTALAÇÃO DE CAIXA DE TOMADAS PARA ESCRITÓRIO DE MESA COM OITO POSTOS COMPATIVEIS COM PIALPLUS REF.: 535 90 WORKPLUS DA PIAL LEGRAND OU EQUIVALENTE TECNICO</v>
      </c>
      <c r="E483" s="91" t="str">
        <f>IFERROR(VLOOKUP($A483,[4]P.O.!$A:$J,5,),"")</f>
        <v>PÇ</v>
      </c>
      <c r="F483" s="139">
        <f>IFERROR(VLOOKUP($A483,[4]P.O.!$A:$J,6,),"")</f>
        <v>2</v>
      </c>
      <c r="G483" s="140">
        <f>IFERROR(VLOOKUP($A483,[4]P.O.!$A:$J,7,),"")</f>
        <v>282.13</v>
      </c>
      <c r="H483" s="140">
        <f>IFERROR(VLOOKUP($A483,[4]P.O.!$A:$J,8,),"")</f>
        <v>352.66</v>
      </c>
      <c r="I483" s="140">
        <f>IFERROR(VLOOKUP($A483,[4]P.O.!$A:$J,9,),"")</f>
        <v>705.32</v>
      </c>
      <c r="J483" s="159">
        <f t="shared" si="54"/>
        <v>3.3188929273907992E-4</v>
      </c>
      <c r="K483" s="145">
        <f>IFERROR(VLOOKUP($A483,[4]P.O.!$A:$J,10,),"")</f>
        <v>0.25</v>
      </c>
      <c r="L483" s="265"/>
    </row>
    <row r="484" spans="1:12" s="232" customFormat="1" ht="33">
      <c r="A484" s="76" t="s">
        <v>476</v>
      </c>
      <c r="B484" s="77" t="str">
        <f>IFERROR(VLOOKUP($A484,[4]P.O.!$A:$J,2,),"")</f>
        <v>COMPS30040</v>
      </c>
      <c r="C484" s="77" t="str">
        <f>IFERROR(VLOOKUP($A484,[4]P.O.!$A:$J,3,),"")</f>
        <v>COMPOSIÇÃO</v>
      </c>
      <c r="D484" s="78" t="str">
        <f>IFERROR(VLOOKUP($A484,[4]P.O.!$A:$J,4,),"")</f>
        <v>FORNECIMENTO E INSTALAÇÃO DE SUPORTE DE FIXAÇÃO PARA CAIXA DE TOMADAS PARA ESCRITÓRIO DE MESA REF.: 535 99 WORKPLUS DA PIAL LEGRAND OU EQUIVALENTE TECNICO</v>
      </c>
      <c r="E484" s="91" t="str">
        <f>IFERROR(VLOOKUP($A484,[4]P.O.!$A:$J,5,),"")</f>
        <v>PÇ</v>
      </c>
      <c r="F484" s="139">
        <f>IFERROR(VLOOKUP($A484,[4]P.O.!$A:$J,6,),"")</f>
        <v>2</v>
      </c>
      <c r="G484" s="140">
        <f>IFERROR(VLOOKUP($A484,[4]P.O.!$A:$J,7,),"")</f>
        <v>63.830000000000005</v>
      </c>
      <c r="H484" s="140">
        <f>IFERROR(VLOOKUP($A484,[4]P.O.!$A:$J,8,),"")</f>
        <v>79.790000000000006</v>
      </c>
      <c r="I484" s="140">
        <f>IFERROR(VLOOKUP($A484,[4]P.O.!$A:$J,9,),"")</f>
        <v>159.58000000000001</v>
      </c>
      <c r="J484" s="159">
        <f t="shared" si="54"/>
        <v>7.5090587726567203E-5</v>
      </c>
      <c r="K484" s="145">
        <f>IFERROR(VLOOKUP($A484,[4]P.O.!$A:$J,10,),"")</f>
        <v>0.25</v>
      </c>
      <c r="L484" s="265"/>
    </row>
    <row r="485" spans="1:12" s="232" customFormat="1" ht="33">
      <c r="A485" s="76" t="s">
        <v>477</v>
      </c>
      <c r="B485" s="77">
        <f>IFERROR(VLOOKUP($A485,[4]P.O.!$A:$J,2,),"")</f>
        <v>83399</v>
      </c>
      <c r="C485" s="77" t="str">
        <f>IFERROR(VLOOKUP($A485,[4]P.O.!$A:$J,3,),"")</f>
        <v>SINAPI SERVIÇO</v>
      </c>
      <c r="D485" s="78" t="str">
        <f>IFERROR(VLOOKUP($A485,[4]P.O.!$A:$J,4,),"")</f>
        <v>RELE FOTOELETRICO P/ COMANDO DE ILUMINACAO EXTERNA 220V/1000W - FORNEC   IMENTO E INSTALACAO</v>
      </c>
      <c r="E485" s="91" t="str">
        <f>IFERROR(VLOOKUP($A485,[4]P.O.!$A:$J,5,),"")</f>
        <v>UN</v>
      </c>
      <c r="F485" s="139">
        <f>IFERROR(VLOOKUP($A485,[4]P.O.!$A:$J,6,),"")</f>
        <v>9</v>
      </c>
      <c r="G485" s="140">
        <f>IFERROR(VLOOKUP($A485,[4]P.O.!$A:$J,7,),"")</f>
        <v>46.02</v>
      </c>
      <c r="H485" s="140">
        <f>IFERROR(VLOOKUP($A485,[4]P.O.!$A:$J,8,),"")</f>
        <v>57.53</v>
      </c>
      <c r="I485" s="140">
        <f>IFERROR(VLOOKUP($A485,[4]P.O.!$A:$J,9,),"")</f>
        <v>517.77</v>
      </c>
      <c r="J485" s="159">
        <f t="shared" si="54"/>
        <v>2.4363738317574065E-4</v>
      </c>
      <c r="K485" s="145">
        <f>IFERROR(VLOOKUP($A485,[4]P.O.!$A:$J,10,),"")</f>
        <v>0.25</v>
      </c>
      <c r="L485" s="265"/>
    </row>
    <row r="486" spans="1:12" s="232" customFormat="1" ht="33">
      <c r="A486" s="76" t="s">
        <v>478</v>
      </c>
      <c r="B486" s="77" t="str">
        <f>IFERROR(VLOOKUP($A486,[4]P.O.!$A:$J,2,),"")</f>
        <v>COMPS30057</v>
      </c>
      <c r="C486" s="77" t="str">
        <f>IFERROR(VLOOKUP($A486,[4]P.O.!$A:$J,3,),"")</f>
        <v>COMPOSIÇÃO</v>
      </c>
      <c r="D486" s="78" t="str">
        <f>IFERROR(VLOOKUP($A486,[4]P.O.!$A:$J,4,),"")</f>
        <v>FORNECIMENTO E INSTALAÇÃO DE TOMADA AQUATIC EMB 4X2 2P+T PB 10A/250V. REF.: AQUATIC DA PIAL LEGRAND OU EQUIVALENTE TECNICO</v>
      </c>
      <c r="E486" s="91" t="str">
        <f>IFERROR(VLOOKUP($A486,[4]P.O.!$A:$J,5,),"")</f>
        <v>UND</v>
      </c>
      <c r="F486" s="139">
        <f>IFERROR(VLOOKUP($A486,[4]P.O.!$A:$J,6,),"")</f>
        <v>4</v>
      </c>
      <c r="G486" s="140">
        <f>IFERROR(VLOOKUP($A486,[4]P.O.!$A:$J,7,),"")</f>
        <v>5.42</v>
      </c>
      <c r="H486" s="140">
        <f>IFERROR(VLOOKUP($A486,[4]P.O.!$A:$J,8,),"")</f>
        <v>6.78</v>
      </c>
      <c r="I486" s="140">
        <f>IFERROR(VLOOKUP($A486,[4]P.O.!$A:$J,9,),"")</f>
        <v>27.12</v>
      </c>
      <c r="J486" s="159">
        <f t="shared" si="54"/>
        <v>1.2761353171728928E-5</v>
      </c>
      <c r="K486" s="145">
        <f>IFERROR(VLOOKUP($A486,[4]P.O.!$A:$J,10,),"")</f>
        <v>0.25</v>
      </c>
      <c r="L486" s="265"/>
    </row>
    <row r="487" spans="1:12" s="232" customFormat="1">
      <c r="A487" s="76"/>
      <c r="B487" s="77"/>
      <c r="C487" s="77"/>
      <c r="D487" s="78"/>
      <c r="E487" s="91"/>
      <c r="F487" s="139"/>
      <c r="G487" s="140"/>
      <c r="H487" s="140"/>
      <c r="I487" s="140"/>
      <c r="J487" s="159"/>
      <c r="K487" s="141"/>
    </row>
    <row r="488" spans="1:12" s="235" customFormat="1">
      <c r="A488" s="95" t="s">
        <v>103</v>
      </c>
      <c r="B488" s="110"/>
      <c r="C488" s="110"/>
      <c r="D488" s="97" t="str">
        <f>IFERROR(VLOOKUP($A488,[4]P.O.!$A:$J,4,),"")</f>
        <v>QUADROS</v>
      </c>
      <c r="E488" s="96"/>
      <c r="F488" s="163"/>
      <c r="G488" s="180"/>
      <c r="H488" s="180"/>
      <c r="I488" s="180"/>
      <c r="J488" s="165"/>
      <c r="K488" s="181"/>
    </row>
    <row r="489" spans="1:12" s="232" customFormat="1" ht="247.5">
      <c r="A489" s="76" t="s">
        <v>104</v>
      </c>
      <c r="B489" s="77" t="str">
        <f>IFERROR(VLOOKUP($A489,[4]P.O.!$A:$J,2,),"")</f>
        <v>COMPS30041</v>
      </c>
      <c r="C489" s="77" t="str">
        <f>IFERROR(VLOOKUP($A489,[4]P.O.!$A:$J,3,),"")</f>
        <v>COMPOSIÇÃO</v>
      </c>
      <c r="D489" s="78" t="str">
        <f>IFERROR(VLOOKUP($A489,[4]P.O.!$A:$J,4,),"")</f>
        <v>QDLF-1: FORNECIMENTO E INSTALAÇÃO DE QUADRO DE DISTRIBUIÇÃO PARCIAL,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8(OITO) DISJUNTORES UNIPOLARES, CORRENTE NOMINAL 10A, TERMOMAGNÉTICO PADRÃO EUROPEU, TENSÃO DE OPERAÇÃO 220Vca, CAPACIDADE DE INTERRUPÇÃO 10kA/220Vca/60Hz, CURVA CARACTERÍSTICA DE DISPARO "C". FIXAÇÃO TIPO ENGATE RÁPIDO SOBRE TRILHO DE 35mm REF: C60N DA SCHNEIDER ELECTRIC OU EQUIVALENTE TÉCNICO; 4(QUATRO) DISJUNTORES UNIPOLARES, CORRENTE NOMINAL 16A, TERMOMAGNÉTICO PADRÃO EUROPEU, TENSÃO DE OPERAÇÃO 220Vca, CAPACIDADE DE INTERRUPÇÃO 10kA/220Vca/60Hz, CURVA CARACTERÍSTICA DE DISPARO "C". FIXAÇÃO TIPO ENGATE RÁPIDO SOBRE TRILHO DE 35mm REF: C60N DA SCHNEIDER ELECTRIC OU EQUIVALENTE TÉCNICO; 3(TRÊS) DISJUNTORES UNIPOLARES, CORRENTE NOMINAL 20A, TERMOMAGNÉTICO PADRÃO EUROPEU, TENSÃO DE OPERAÇÃO 220Vca, CAPACIDADE DE INTERRUPÇÃO 10kA/220Vca/60Hz, CURVA CARACTERÍSTICA DE DISPARO "C". FIXAÇÃO TIPO ENGATE RÁPIDO SOBRE TRILHO DE 35mm REF: C60N DA SCHNEIDER ELECTRIC OU EQUIVALENTE TÉCNICO; 4(QUATRO) DISPOSITIVOS DE PROTEÇÃO CONTRA SURTOS (DPS), CLASSE III, VERSÃO EXTRAÍVEL (PLUG-IN), TENSÃO NOMINAL 230V, CAPACIDADE DE INTERRUPÇÃO 8kA, 230Vca/60Hz. FIXAÇÃO TIPO ENGATE RÁPIDO SOBRE TRILHO DE 35mm REF.: PRD8 - CLASSE III DA SCHNEIDER ELECTRIC OU EQUIVALENTE TÉCNICO; 1 (UM) BLOCO DIFERENCIAL RESIDUAL (DDR), CLASSE AC, 4 POLOS, CORRENTE NOMINAL 25A, TENSÃO DE OPERAÇÃO 230V, CAPACIDADE DE INTERRUPÇÃO 10kA, SENSIBILIDADE DE FUGA A TERRA 300mA REF.: VIGI C60 DA SCHINEIDER ELECTRIC OU EQUIVALENTE TÉCNICO; 1 (UM) DISJUNTOR TRIPOLAR, CORRENTE NOMINAL 20A, TERMOMAGNÉTICO PADRÃO EUROPEU, TENSÃO DE OPERAÇÃO 220Vca, CAPACIDADE DE INTERRUPÇÃO 10kA/220Vca/60Hz, CURVA CARACTERÍSTICA DE DISPARO "C". FIXAÇÃO TIPO ENGATE RÁPIDO SOBRE TRILHO DE 35mm REF: C60N DA SCHNEIDER ELECTRIC OU EQUIVALENTE TÉCNICO; 1 (UM) BLOCO DIFERENCIAL RESIDUAIL(DDR), CLASSE AC, 2 POLOS, CORRENTE NOMINAL 10A, TENSÃO DE OPERAÇÃO 230V, CAPACIDADE DE INTERRUPÇÃO 10kA, SENSIBILIDADE DE FUGA A TERRA 30mA REF.: VIGI C60 DA SCHINEIDER ELECTRIC OU EQUIVALENTE TÉCNICO.</v>
      </c>
      <c r="E489" s="91" t="str">
        <f>IFERROR(VLOOKUP($A489,[4]P.O.!$A:$J,5,),"")</f>
        <v>UND</v>
      </c>
      <c r="F489" s="139">
        <f>IFERROR(VLOOKUP($A489,[4]P.O.!$A:$J,6,),"")</f>
        <v>1</v>
      </c>
      <c r="G489" s="140">
        <f>IFERROR(VLOOKUP($A489,[4]P.O.!$A:$J,7,),"")</f>
        <v>2124.4499999999998</v>
      </c>
      <c r="H489" s="140">
        <f>IFERROR(VLOOKUP($A489,[4]P.O.!$A:$J,8,),"")</f>
        <v>2655.56</v>
      </c>
      <c r="I489" s="140">
        <f>IFERROR(VLOOKUP($A489,[4]P.O.!$A:$J,9,),"")</f>
        <v>2655.56</v>
      </c>
      <c r="J489" s="159">
        <f t="shared" ref="J489:J493" si="55">IF(I489="","",I489/$E$777)</f>
        <v>1.2495773978140291E-3</v>
      </c>
      <c r="K489" s="145">
        <f>IFERROR(VLOOKUP($A489,[4]P.O.!$A:$J,10,),"")</f>
        <v>0.25</v>
      </c>
      <c r="L489" s="265"/>
    </row>
    <row r="490" spans="1:12" s="232" customFormat="1" ht="247.5">
      <c r="A490" s="76" t="s">
        <v>105</v>
      </c>
      <c r="B490" s="77" t="str">
        <f>IFERROR(VLOOKUP($A490,[4]P.O.!$A:$J,2,),"")</f>
        <v>COMPS30042</v>
      </c>
      <c r="C490" s="77" t="str">
        <f>IFERROR(VLOOKUP($A490,[4]P.O.!$A:$J,3,),"")</f>
        <v>COMPOSIÇÃO</v>
      </c>
      <c r="D490" s="78" t="str">
        <f>IFERROR(VLOOKUP($A490,[4]P.O.!$A:$J,4,),"")</f>
        <v>QDLF-2: FORNECIMENTO E INSTALAÇÃO DE QUADRO DE DISTRIBUIÇÃO PARCIAL,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12(DOZE) DISJUNTORES UNIPOLARES, CORRENTE NOMINAL 10A, TERMOMAGNÉTICO PADRÃO EUROPEU, TENSÃO DE OPERAÇÃO 220Vca, CAPACIDADE DE INTERRUPÇÃO 10kA/220Vca/60Hz, CURVA CARACTERÍSTICA DE DISPARO "C". FIXAÇÃO TIPO ENGATE RÁPIDO SOBRE TRILHO DE 35mm REF: C60N DA SCHNEIDER ELECTRIC OU EQUIVALENTE TÉCNICO; 5(CINCO) DISJUNTORES UNIPOLARES, CORRENTE NOMINAL 16A, TERMOMAGNÉTICO PADRÃO EUROPEU, TENSÃO DE OPERAÇÃO 220Vca, CAPACIDADE DE INTERRUPÇÃO 10kA/220Vca/60Hz, CURVA CARACTERÍSTICA DE DISPARO "C". FIXAÇÃO TIPO ENGATE RÁPIDO SOBRE TRILHO DE 35mm REF: C60N DA SCHNEIDER ELECTRIC OU EQUIVALENTE TÉCNICO; 5(CINCO) DISJUNTORES UNIPOLARES, CORRENTE NOMINAL 20A, TERMOMAGNÉTICO PADRÃO EUROPEU, TENSÃO DE OPERAÇÃO 220Vca, CAPACIDADE DE INTERRUPÇÃO 10kA/220Vca/60Hz, CURVA CARACTERÍSTICA DE DISPARO "C". FIXAÇÃO TIPO ENGATE RÁPIDO SOBRE TRILHO DE 35mm REF: C60N DA SCHNEIDER ELECTRIC OU EQUIVALENTE TÉCNICO; 4(QUATRO) DISPOSITIVOS DE PROTEÇÃO CONTRA SURTOS (DPS), CLASSE III, VERSÃO EXTRAÍVEL (PLUG-IN), TENSÃO NOMINAL 230V, CAPACIDADE DE INTERRUPÇÃO 8kA, 230Vca/60Hz. FIXAÇÃO TIPO ENGATE RÁPIDO SOBRE TRILHO DE 35mm REF.: PRD8 - CLASSE III DA SCHNEIDER ELECTRIC OU EQUIVALENTE TÉCNICO; 1 (UM) BLOCO DIFERENCIAL RESIDUAL (DDR), CLASSE AC, 4 POLOS, CORRENTE NOMINAL 63A, TENSÃO DE OPERAÇÃO 230V, CAPACIDADE DE INTERRUPÇÃO 10kA, SENSIBILIDADE DE FUGA A TERRA 300mA REF.: VIGI C60 DA SCHINEIDER ELECTRIC OU EQUIVALENTE TÉCNICO; 1 (UM) DISJUNTOR TRIPOLAR, CORRENTE NOMINAL 63A, TERMOMAGNÉTICO PADRÃO EUROPEU, TENSÃO DE OPERAÇÃO 220Vca, CAPACIDADE DE INTERRUPÇÃO 10kA/220Vca/60Hz, CURVA CARACTERÍSTICA DE DISPARO "C". FIXAÇÃO TIPO ENGATE RÁPIDO SOBRE TRILHO DE 35mm REF: C60N DA SCHNEIDER ELECTRIC OU EQUIVALENTE TÉCNICO.</v>
      </c>
      <c r="E490" s="91" t="str">
        <f>IFERROR(VLOOKUP($A490,[4]P.O.!$A:$J,5,),"")</f>
        <v>UND</v>
      </c>
      <c r="F490" s="139">
        <f>IFERROR(VLOOKUP($A490,[4]P.O.!$A:$J,6,),"")</f>
        <v>1</v>
      </c>
      <c r="G490" s="140">
        <f>IFERROR(VLOOKUP($A490,[4]P.O.!$A:$J,7,),"")</f>
        <v>2601.96</v>
      </c>
      <c r="H490" s="140">
        <f>IFERROR(VLOOKUP($A490,[4]P.O.!$A:$J,8,),"")</f>
        <v>3252.45</v>
      </c>
      <c r="I490" s="140">
        <f>IFERROR(VLOOKUP($A490,[4]P.O.!$A:$J,9,),"")</f>
        <v>3252.45</v>
      </c>
      <c r="J490" s="159">
        <f t="shared" si="55"/>
        <v>1.5304448054347252E-3</v>
      </c>
      <c r="K490" s="145">
        <f>IFERROR(VLOOKUP($A490,[4]P.O.!$A:$J,10,),"")</f>
        <v>0.25</v>
      </c>
      <c r="L490" s="265"/>
    </row>
    <row r="491" spans="1:12" s="232" customFormat="1" ht="247.5">
      <c r="A491" s="76" t="s">
        <v>106</v>
      </c>
      <c r="B491" s="77" t="str">
        <f>IFERROR(VLOOKUP($A491,[4]P.O.!$A:$J,2,),"")</f>
        <v>COMPS30070</v>
      </c>
      <c r="C491" s="77" t="str">
        <f>IFERROR(VLOOKUP($A491,[4]P.O.!$A:$J,3,),"")</f>
        <v>COMPOSIÇÃO</v>
      </c>
      <c r="D491" s="78" t="str">
        <f>IFERROR(VLOOKUP($A491,[4]P.O.!$A:$J,4,),"")</f>
        <v>QDLF-3: FORNECIMENTO E INSTALAÇÃO DE QUADRO DE DISTRIBUIÇÃO PARCIAL,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21(VINTE E UM) DISJUNTORES UNIPOLARES, CORRENTE NOMINAL 10A, TERMOMAGNÉTICO PADRÃO EUROPEU, TENSÃO DE OPERAÇÃO 220Vca, CAPACIDADE DE INTERRUPÇÃO 10kA/220Vca/60Hz, CURVA CARACTERÍSTICA DE DISPARO "C". FIXAÇÃO TIPO ENGATE RÁPIDO SOBRE TRILHO DE 35mm REF: C60N DA SCHNEIDER ELECTRIC OU EQUIVALENTE TÉCNICO; 3(TRÊS) DISJUNTORES UNIPOLARES, CORRENTE NOMINAL 20A, TERMOMAGNÉTICO PADRÃO EUROPEU, TENSÃO DE OPERAÇÃO 220Vca, CAPACIDADE DE INTERRUPÇÃO 10kA/220Vca/60Hz, CURVA CARACTERÍSTICA DE DISPARO "C". FIXAÇÃO TIPO ENGATE RÁPIDO SOBRE TRILHO DE 35mm REF: C60N DA SCHNEIDER ELECTRIC OU EQUIVALENTE TÉCNICO; 1(UM) DISJUNTOR UNIPOLAR, CORRENTE NOMINAL 30A, TERMOMAGNÉTICO PADRÃO EUROPEU, TENSÃO DE OPERAÇÃO 220Vca, CAPACIDADE DE INTERRUPÇÃO 10kA/220Vca/60Hz, CURVA CARACTERÍSTICA DE DISPARO "C". FIXAÇÃO TIPO ENGATE RÁPIDO SOBRE TRILHO DE 35mm REF: C60N DA SCHNEIDER ELECTRIC OU EQUIVALENTE TÉCNICO; 4(QUATRO) DISPOSITIVOS DE PROTEÇÃO CONTRA SURTOS (DPS), CLASSE III, VERSÃO EXTRAÍVEL (PLUG-IN), TENSÃO NOMINAL 230V, CAPACIDADE DE INTERRUPÇÃO 8kA, 230Vca/60Hz. FIXAÇÃO TIPO ENGATE RÁPIDO SOBRE TRILHO DE 35mm REF.: PRD8 - CLASSE III DA SCHNEIDER ELECTRIC OU EQUIVALENTE TÉCNICO; 1 (UM) DISJUNTOR DIFERENCIAL RESIDUAL (DDR), CLASSE AC, 4 POLOS, CORRENTE NOMINAL 63A, TENSÃO DE OPERAÇÃO 230V, CAPACIDADE DE INTERRUPÇÃO 10kA, SENSIBILIDADE DE FUGA A TERRA 300mA REF.: ID-RCCB DA SCHINEIDER ELECTRIC OU EQUIVALENTE TÉCNICO; 1(UM) DISJUNTOR TRIPOLAR, CORRENTE NOMINAL 40A, TERMOMAGNÉTICO PADRÃO EUROPEU, TENSÃO DE OPERAÇÃO 220Vca, CAPACIDADE DE INTERRUPÇÃO 10kA/220Vca/60Hz, CURVA CARACTERÍSTICA DE DISPARO "C". FIXAÇÃO TIPO ENGATE RÁPIDO SOBRE TRILHO DE 35mm REF: C60N DA SCHNEIDER ELECTRIC OU EQUIVALENTE TÉCNICO; 7 (SETE) BLOCOS DIFERENCIAIS RESIDUAIS(DDR), CLASSE AC, 2 POLOS, CORRENTE NOMINAL 10A, TENSÃO DE OPERAÇÃO 230V, CAPACIDADE DE INTERRUPÇÃO 10kA, SENSIBILIDADE DE FUGA A TERRA 30mA REF.: VIGI C60 DA SCHINEIDER ELECTRIC OU EQUIVALENTE TÉCNICO; 1 (UM) BLOCO DIFERENCIAL RESIDUAL (DDR), CLASSE AC, 2 POLOS, CORRENTE NOMINAL 30A, TENSÃO DE OPERAÇÃO 230V, CAPACIDADE DE INTERRUPÇÃO 10kA, SENSIBILIDADE DE FUGA A TERRA 30mA REF.: VIGI C60 DA SCHINEIDER ELECTRIC OU EQUIVALENTE TÉCNICO.</v>
      </c>
      <c r="E491" s="91" t="str">
        <f>IFERROR(VLOOKUP($A491,[4]P.O.!$A:$J,5,),"")</f>
        <v>UND</v>
      </c>
      <c r="F491" s="139">
        <f>IFERROR(VLOOKUP($A491,[4]P.O.!$A:$J,6,),"")</f>
        <v>1</v>
      </c>
      <c r="G491" s="140">
        <f>IFERROR(VLOOKUP($A491,[4]P.O.!$A:$J,7,),"")</f>
        <v>1573.0400000000002</v>
      </c>
      <c r="H491" s="140">
        <f>IFERROR(VLOOKUP($A491,[4]P.O.!$A:$J,8,),"")</f>
        <v>1966.3</v>
      </c>
      <c r="I491" s="140">
        <f>IFERROR(VLOOKUP($A491,[4]P.O.!$A:$J,9,),"")</f>
        <v>1966.3</v>
      </c>
      <c r="J491" s="159">
        <f t="shared" si="55"/>
        <v>9.252451600874111E-4</v>
      </c>
      <c r="K491" s="145">
        <f>IFERROR(VLOOKUP($A491,[4]P.O.!$A:$J,10,),"")</f>
        <v>0.25</v>
      </c>
      <c r="L491" s="265"/>
    </row>
    <row r="492" spans="1:12" s="232" customFormat="1" ht="247.5">
      <c r="A492" s="76" t="s">
        <v>107</v>
      </c>
      <c r="B492" s="77" t="str">
        <f>IFERROR(VLOOKUP($A492,[4]P.O.!$A:$J,2,),"")</f>
        <v>COMPS30044</v>
      </c>
      <c r="C492" s="77" t="str">
        <f>IFERROR(VLOOKUP($A492,[4]P.O.!$A:$J,3,),"")</f>
        <v>COMPOSIÇÃO</v>
      </c>
      <c r="D492" s="78" t="str">
        <f>IFERROR(VLOOKUP($A492,[4]P.O.!$A:$J,4,),"")</f>
        <v>QGBT: FORNECIMENTO E INSTALAÇÃO DE QUADRO DE DISTRIBUIÇÃO GERAL, PARA INSTALAÇÃO DE SOBREPOR, COMPOSTO DE CAIXA CONSTRUÍDA EM CHAPA DE AÇO N° 18, GALVANIZADA, CHASSI INTERNO COM CONTRA-ESPELHO E PORTA, BARRAMENTO TRIFÁSICO, NEUTRO E TERRA EM COBRE ELETROLÍTICO, E ACABAMENTO COM PINTURA ELETROSTÁTICA EM EPÓXI NA COR BRANCA - RAL 7032, GRAU DE PROTEÇÃO IP 54 CONFORME NBR 6146, E EQUIPADO CONFORME RESPECTIVO DIAGRAMA UNIFILAR CONSTANTE EM PROJETO, DE FABRICAÇÃO CEMAR OU EQUIVALENTE TÉCNICO: 1(UM) DISJUNTOR TRIPOLAR DE CAIXA MOLDADA, CORRENTE NOMINAL 125A, TERMOMAGNÉTICO PADRÃO EUROPEU, TENSÃO DE OPERAÇÃO 220Vca, CAPACIDADE DE INTERRUPÇÃO 40kA/220Vca/60Hz, CURVA CARACTERÍSTICA DE DISPARO "C". FIXAÇÃO TIPO ENGATE RÁPIDO SOBRE TRILHO DE 35mm REF:COMPACT NS DA SCHNEIDER ELECTRIC OU EQUIVALENTE TÉCNICO; 1 (UM) DISJUNTOR TRIPOLAR, CORRENTE NOMINAL 20A, TERMOMAGNÉTICO PADRÃO EUROPEU, TENSÃO DE OPERAÇÃO 220Vca, CAPACIDADE DE INTERRUPÇÃO 10kA/220Vca/60Hz, CURVA CARACTERÍSTICA DE DISPARO "C". FIXAÇÃO TIPO ENGATE RÁPIDO SOBRE TRILHO DE 35mm REF: C60N DA SCHNEIDER ELECTRIC OU EQUIVALENTE TÉCNICO; 1 (UM) DISJUNTOR TRIPOLAR, CORRENTE NOMINAL 40A, TERMOMAGNÉTICO PADRÃO EUROPEU, TENSÃO DE OPERAÇÃO 220Vca, CAPACIDADE DE INTERRUPÇÃO 10kA/220Vca/60Hz, CURVA CARACTERÍSTICA DE DISPARO "C". FIXAÇÃO TIPO ENGATE RÁPIDO SOBRE TRILHO DE 35mm REF: C60N DA SCHNEIDER ELECTRIC OU EQUIVALENTE TÉCNICO; 1 (UM) DISJUNTOR TRIPOLAR, CORRENTE NOMINAL 63A, TERMOMAGNÉTICO PADRÃO EUROPEU, TENSÃO DE OPERAÇÃO 220Vca, CAPACIDADE DE INTERRUPÇÃO 10kA/220Vca/60Hz, CURVA CARACTERÍSTICA DE DISPARO "C". FIXAÇÃO TIPO ENGATE RÁPIDO SOBRE TRILHO DE 35mm REF: C60N DA SCHNEIDER ELECTRIC OU EQUIVALENTE TÉCNICO.</v>
      </c>
      <c r="E492" s="91" t="str">
        <f>IFERROR(VLOOKUP($A492,[4]P.O.!$A:$J,5,),"")</f>
        <v>UND</v>
      </c>
      <c r="F492" s="139">
        <f>IFERROR(VLOOKUP($A492,[4]P.O.!$A:$J,6,),"")</f>
        <v>1</v>
      </c>
      <c r="G492" s="140">
        <f>IFERROR(VLOOKUP($A492,[4]P.O.!$A:$J,7,),"")</f>
        <v>3940.59</v>
      </c>
      <c r="H492" s="140">
        <f>IFERROR(VLOOKUP($A492,[4]P.O.!$A:$J,8,),"")</f>
        <v>4925.74</v>
      </c>
      <c r="I492" s="140">
        <f>IFERROR(VLOOKUP($A492,[4]P.O.!$A:$J,9,),"")</f>
        <v>4925.74</v>
      </c>
      <c r="J492" s="159">
        <f t="shared" si="55"/>
        <v>2.3178137084112109E-3</v>
      </c>
      <c r="K492" s="145">
        <f>IFERROR(VLOOKUP($A492,[4]P.O.!$A:$J,10,),"")</f>
        <v>0.25</v>
      </c>
      <c r="L492" s="265"/>
    </row>
    <row r="493" spans="1:12" s="232" customFormat="1" ht="247.5">
      <c r="A493" s="76" t="s">
        <v>108</v>
      </c>
      <c r="B493" s="77" t="str">
        <f>IFERROR(VLOOKUP($A493,[4]P.O.!$A:$J,2,),"")</f>
        <v>COMPS30056</v>
      </c>
      <c r="C493" s="77" t="str">
        <f>IFERROR(VLOOKUP($A493,[4]P.O.!$A:$J,3,),"")</f>
        <v>COMPOSIÇÃO</v>
      </c>
      <c r="D493" s="78" t="str">
        <f>IFERROR(VLOOKUP($A493,[4]P.O.!$A:$J,4,),"")</f>
        <v>FORNECIMENTO E INSTALAÇÃO DE QUADRO DE COMANDO ELEVADOR: QUADRO DE COMANDO, PARA INSTALAÇÃO DE SOBREPOR, COMPOSTO DE CAIXA CONSTRUÍDA EM CHAPA DE AÇO TRATADA A BASE DE FOSFATO DE FERRO E PINTURA A PÓ, CHASSI INTERNO COM CONTRA-ESPELHO E PORTA, BARRAMENTO TRIFÁSICO, NEUTRO E TERRA EM COBRE ELETROLÍTICO, E ACABAMENTO COM PINTURA ELETROSTÁTICA EM EPÓXI NA COR BEGE - RAL 7032, GRAU DE PROTEÇÃO IP 54 CONFORME NBR 6146, E EQUIPADO CONFORME RESPECTIVO DIAGRAMA UNIFILAR DO EQUIPAMENTO, DE FABRICAÇÃO 902126 CEMAR OU EQUIVALENTE TÉCNICO:1-1 (UM) DISJUNTOR TRIPOLAR, CORRENTE NOMINAL 10A, TERMOMAGNÉTICO PADRÃO EUROPEU, TENSÃO DE OPERAÇÃO 220Vca, CAPACIDADE DE INTERRUPÇÃO 10kA/220Vca/60Hz, CURVA CARACTERÍSTICA DE DISPARO "C". FIXAÇÃO TIPO ENGATE RÁPIDO SOBRE TRILHO DE 35mm. REF: C60N DA SCHNEIDER ELECTRIC OU EQUIVALENTE TECNICO;2- 1(UM) DISJUNTOR UNIPOLAR, CORRENTE NOMINAL 10A, TERMOMAGNÉTICO PADRÃO EUROPEU, TENSÃO DE OPERAÇÃO 220Vca, CAPACIDADE DE INTERRUPÇÃO 10kA/220Vca/60Hz, CURVA CARACTERÍSTICA DE DISPARO "C". FIXAÇÃO TIPO ENGATE RÁPIDO SOBRE TRILHO DE 35mm. REF: C60N DA SCHNEIDER ELECTRIC OU EQUIVALENTE TECNICO;3-1 (UM) BLOCO DIFERENCIAL RESIDUAL (DDR), CLASSE AC, 4 POLOS, CORRENTE NOMINAL 25A, TENSÃO DE OPERAÇÃO 230V, CAPACIDADE DE INTERRUPÇÃO 10kA, SENSIBILIDADE DE FUGA A TERRA 300mA. REF.: VIGI C60 DA SCHINEIDER ELECTRIC OU EQUIVALENTE TECNICO.</v>
      </c>
      <c r="E493" s="91" t="str">
        <f>IFERROR(VLOOKUP($A493,[4]P.O.!$A:$J,5,),"")</f>
        <v>UND</v>
      </c>
      <c r="F493" s="139">
        <f>IFERROR(VLOOKUP($A493,[4]P.O.!$A:$J,6,),"")</f>
        <v>1</v>
      </c>
      <c r="G493" s="140">
        <f>IFERROR(VLOOKUP($A493,[4]P.O.!$A:$J,7,),"")</f>
        <v>598.29999999999995</v>
      </c>
      <c r="H493" s="140">
        <f>IFERROR(VLOOKUP($A493,[4]P.O.!$A:$J,8,),"")</f>
        <v>747.88</v>
      </c>
      <c r="I493" s="140">
        <f>IFERROR(VLOOKUP($A493,[4]P.O.!$A:$J,9,),"")</f>
        <v>747.88</v>
      </c>
      <c r="J493" s="159">
        <f t="shared" si="55"/>
        <v>3.5191595907347456E-4</v>
      </c>
      <c r="K493" s="145">
        <f>IFERROR(VLOOKUP($A493,[4]P.O.!$A:$J,10,),"")</f>
        <v>0.25</v>
      </c>
      <c r="L493" s="265"/>
    </row>
    <row r="494" spans="1:12" s="232" customFormat="1">
      <c r="A494" s="76"/>
      <c r="B494" s="77"/>
      <c r="C494" s="77"/>
      <c r="D494" s="78"/>
      <c r="E494" s="91"/>
      <c r="F494" s="139"/>
      <c r="G494" s="140"/>
      <c r="H494" s="140"/>
      <c r="I494" s="140"/>
      <c r="J494" s="159"/>
      <c r="K494" s="141"/>
    </row>
    <row r="495" spans="1:12" s="231" customFormat="1">
      <c r="A495" s="6" t="s">
        <v>109</v>
      </c>
      <c r="B495" s="25"/>
      <c r="C495" s="25"/>
      <c r="D495" s="32" t="str">
        <f>IFERROR(VLOOKUP($A495,[4]P.O.!$A:$J,4,),"")</f>
        <v>LUMINOTÉCNICO</v>
      </c>
      <c r="E495" s="135"/>
      <c r="F495" s="136"/>
      <c r="G495" s="137"/>
      <c r="H495" s="137"/>
      <c r="I495" s="137">
        <f>SUM(I496:I548)</f>
        <v>191827.19999999998</v>
      </c>
      <c r="J495" s="230">
        <f>IF(I495="","",I495/$E$777)</f>
        <v>9.026455188583625E-2</v>
      </c>
      <c r="K495" s="138"/>
    </row>
    <row r="496" spans="1:12" s="232" customFormat="1">
      <c r="A496" s="76"/>
      <c r="B496" s="77"/>
      <c r="C496" s="77"/>
      <c r="D496" s="78"/>
      <c r="E496" s="91"/>
      <c r="F496" s="139"/>
      <c r="G496" s="140"/>
      <c r="H496" s="140"/>
      <c r="I496" s="140"/>
      <c r="J496" s="159"/>
      <c r="K496" s="141"/>
    </row>
    <row r="497" spans="1:12" s="235" customFormat="1">
      <c r="A497" s="95" t="s">
        <v>110</v>
      </c>
      <c r="B497" s="110"/>
      <c r="C497" s="110"/>
      <c r="D497" s="97" t="str">
        <f>IFERROR(VLOOKUP($A497,[4]P.O.!$A:$J,4,),"")</f>
        <v>LUMINÁRIAS INTERNAS</v>
      </c>
      <c r="E497" s="96"/>
      <c r="F497" s="163"/>
      <c r="G497" s="180"/>
      <c r="H497" s="180"/>
      <c r="I497" s="180"/>
      <c r="J497" s="165"/>
      <c r="K497" s="181"/>
    </row>
    <row r="498" spans="1:12" s="232" customFormat="1" ht="49.5">
      <c r="A498" s="76" t="s">
        <v>111</v>
      </c>
      <c r="B498" s="77" t="str">
        <f>IFERROR(VLOOKUP($A498,[4]P.O.!$A:$J,2,),"")</f>
        <v>COMPS9001</v>
      </c>
      <c r="C498" s="77" t="str">
        <f>IFERROR(VLOOKUP($A498,[4]P.O.!$A:$J,3,),"")</f>
        <v>COMPOSIÇÃO</v>
      </c>
      <c r="D498" s="78" t="str">
        <f>IFERROR(VLOOKUP($A498,[4]P.O.!$A:$J,4,),"")</f>
        <v>FORNECIMENTO E INSTALAÇÃO DE LUMINÁRIA TIPO PENDENTE DE LUZ DIFUSA COM SISTEMA DE LED RGB (INCLUSO)  - MODELO MAMMA MIA COD. 5326 FABRICANTE ILUMINAR OU EQUIVALENTE TECNICO</v>
      </c>
      <c r="E498" s="91" t="str">
        <f>IFERROR(VLOOKUP($A498,[4]P.O.!$A:$J,5,),"")</f>
        <v>UND</v>
      </c>
      <c r="F498" s="139">
        <f>IFERROR(VLOOKUP($A498,[4]P.O.!$A:$J,6,),"")</f>
        <v>2</v>
      </c>
      <c r="G498" s="140">
        <f>IFERROR(VLOOKUP($A498,[4]P.O.!$A:$J,7,),"")</f>
        <v>5257.25</v>
      </c>
      <c r="H498" s="140">
        <f>IFERROR(VLOOKUP($A498,[4]P.O.!$A:$J,8,),"")</f>
        <v>6571.56</v>
      </c>
      <c r="I498" s="140">
        <f>IFERROR(VLOOKUP($A498,[4]P.O.!$A:$J,9,),"")</f>
        <v>13143.12</v>
      </c>
      <c r="J498" s="159">
        <f t="shared" ref="J498:J510" si="56">IF(I498="","",I498/$E$777)</f>
        <v>6.1845131304724896E-3</v>
      </c>
      <c r="K498" s="145">
        <f>IFERROR(VLOOKUP($A498,[4]P.O.!$A:$J,10,),"")</f>
        <v>0.25</v>
      </c>
      <c r="L498" s="265"/>
    </row>
    <row r="499" spans="1:12" s="232" customFormat="1" ht="49.5">
      <c r="A499" s="76" t="s">
        <v>112</v>
      </c>
      <c r="B499" s="77" t="str">
        <f>IFERROR(VLOOKUP($A499,[4]P.O.!$A:$J,2,),"")</f>
        <v>COMPS9002</v>
      </c>
      <c r="C499" s="77" t="str">
        <f>IFERROR(VLOOKUP($A499,[4]P.O.!$A:$J,3,),"")</f>
        <v>COMPOSIÇÃO</v>
      </c>
      <c r="D499" s="78" t="str">
        <f>IFERROR(VLOOKUP($A499,[4]P.O.!$A:$J,4,),"")</f>
        <v>FORNECIMENTO E INSTALAÇÃO DE LUMINÁRIA TIPO PLAFON DE EMBUTIR EM ALUMINIO COM LED DE 12W E DRIVER BIVOLT (INCLUSO), NAS DIMENSÕES Ø=180MM E H=14MM NA COR BRANCA - MODELO SLIM COD. SLED 8040, FABRICANTE MISTER LED OU EQUIVALENTE TECNICO</v>
      </c>
      <c r="E499" s="91" t="str">
        <f>IFERROR(VLOOKUP($A499,[4]P.O.!$A:$J,5,),"")</f>
        <v>UND</v>
      </c>
      <c r="F499" s="139">
        <f>IFERROR(VLOOKUP($A499,[4]P.O.!$A:$J,6,),"")</f>
        <v>2</v>
      </c>
      <c r="G499" s="140">
        <f>IFERROR(VLOOKUP($A499,[4]P.O.!$A:$J,7,),"")</f>
        <v>99.06</v>
      </c>
      <c r="H499" s="140">
        <f>IFERROR(VLOOKUP($A499,[4]P.O.!$A:$J,8,),"")</f>
        <v>123.83</v>
      </c>
      <c r="I499" s="140">
        <f>IFERROR(VLOOKUP($A499,[4]P.O.!$A:$J,9,),"")</f>
        <v>247.66</v>
      </c>
      <c r="J499" s="159">
        <f t="shared" si="56"/>
        <v>1.1653675245244787E-4</v>
      </c>
      <c r="K499" s="145">
        <f>IFERROR(VLOOKUP($A499,[4]P.O.!$A:$J,10,),"")</f>
        <v>0.25</v>
      </c>
      <c r="L499" s="265"/>
    </row>
    <row r="500" spans="1:12" s="232" customFormat="1" ht="66">
      <c r="A500" s="76" t="s">
        <v>113</v>
      </c>
      <c r="B500" s="77" t="str">
        <f>IFERROR(VLOOKUP($A500,[4]P.O.!$A:$J,2,),"")</f>
        <v>COMPS9003</v>
      </c>
      <c r="C500" s="77" t="str">
        <f>IFERROR(VLOOKUP($A500,[4]P.O.!$A:$J,3,),"")</f>
        <v>COMPOSIÇÃO</v>
      </c>
      <c r="D500" s="78" t="str">
        <f>IFERROR(VLOOKUP($A500,[4]P.O.!$A:$J,4,),"")</f>
        <v>FORNECIMENTO E INSTALAÇÃO DE LUMINÁRIA QUADRADA DE SOBREPOR, PARA 2 LÂMPADAS FLUORESCENTES COMPACTAS ELETRÔNICA, EM PINTURA ELETROSTÁTICA EPÓXI-PÓ NA COR BRANCA E DIFUSOR EM VIDRO PLANO TEMPERADO JATEADO - MODELO PLATINA COD. 8030.2A1.340, FABRICANTE ITAIM OU EQUIVALENTE TECNICO</v>
      </c>
      <c r="E500" s="91" t="str">
        <f>IFERROR(VLOOKUP($A500,[4]P.O.!$A:$J,5,),"")</f>
        <v>UND</v>
      </c>
      <c r="F500" s="139">
        <f>IFERROR(VLOOKUP($A500,[4]P.O.!$A:$J,6,),"")</f>
        <v>30</v>
      </c>
      <c r="G500" s="140">
        <f>IFERROR(VLOOKUP($A500,[4]P.O.!$A:$J,7,),"")</f>
        <v>101.96</v>
      </c>
      <c r="H500" s="140">
        <f>IFERROR(VLOOKUP($A500,[4]P.O.!$A:$J,8,),"")</f>
        <v>127.45</v>
      </c>
      <c r="I500" s="140">
        <f>IFERROR(VLOOKUP($A500,[4]P.O.!$A:$J,9,),"")</f>
        <v>3823.5</v>
      </c>
      <c r="J500" s="159">
        <f t="shared" si="56"/>
        <v>1.7991531656381104E-3</v>
      </c>
      <c r="K500" s="145">
        <f>IFERROR(VLOOKUP($A500,[4]P.O.!$A:$J,10,),"")</f>
        <v>0.25</v>
      </c>
      <c r="L500" s="265"/>
    </row>
    <row r="501" spans="1:12" s="232" customFormat="1" ht="49.5">
      <c r="A501" s="76" t="s">
        <v>114</v>
      </c>
      <c r="B501" s="77" t="str">
        <f>IFERROR(VLOOKUP($A501,[4]P.O.!$A:$J,2,),"")</f>
        <v>COMPS9004</v>
      </c>
      <c r="C501" s="77" t="str">
        <f>IFERROR(VLOOKUP($A501,[4]P.O.!$A:$J,3,),"")</f>
        <v>COMPOSIÇÃO</v>
      </c>
      <c r="D501" s="78" t="str">
        <f>IFERROR(VLOOKUP($A501,[4]P.O.!$A:$J,4,),"")</f>
        <v>FORNECIMENTO E INSTALAÇÃO DE TRILHO ELETRIFICADO DE 1 METRO EM ALUMINIO EXTRUDADO COM ACENDIMENTO EM 3 CIRCUITOS INDEPENDENTES NA COR BRANCA - MODELO ALTRAC PRO COD. TRA00034 FABRICANTE ALTENA OU EQUIVALENTE TECNICO</v>
      </c>
      <c r="E501" s="91" t="str">
        <f>IFERROR(VLOOKUP($A501,[4]P.O.!$A:$J,5,),"")</f>
        <v>UND</v>
      </c>
      <c r="F501" s="139">
        <f>IFERROR(VLOOKUP($A501,[4]P.O.!$A:$J,6,),"")</f>
        <v>1</v>
      </c>
      <c r="G501" s="140">
        <f>IFERROR(VLOOKUP($A501,[4]P.O.!$A:$J,7,),"")</f>
        <v>338</v>
      </c>
      <c r="H501" s="140">
        <f>IFERROR(VLOOKUP($A501,[4]P.O.!$A:$J,8,),"")</f>
        <v>422.5</v>
      </c>
      <c r="I501" s="140">
        <f>IFERROR(VLOOKUP($A501,[4]P.O.!$A:$J,9,),"")</f>
        <v>422.5</v>
      </c>
      <c r="J501" s="159">
        <f t="shared" si="56"/>
        <v>1.9880795409496578E-4</v>
      </c>
      <c r="K501" s="145">
        <f>IFERROR(VLOOKUP($A501,[4]P.O.!$A:$J,10,),"")</f>
        <v>0.25</v>
      </c>
      <c r="L501" s="265"/>
    </row>
    <row r="502" spans="1:12" s="232" customFormat="1" ht="49.5">
      <c r="A502" s="76" t="s">
        <v>115</v>
      </c>
      <c r="B502" s="77" t="str">
        <f>IFERROR(VLOOKUP($A502,[4]P.O.!$A:$J,2,),"")</f>
        <v>COMPS9005</v>
      </c>
      <c r="C502" s="77" t="str">
        <f>IFERROR(VLOOKUP($A502,[4]P.O.!$A:$J,3,),"")</f>
        <v>COMPOSIÇÃO</v>
      </c>
      <c r="D502" s="78" t="str">
        <f>IFERROR(VLOOKUP($A502,[4]P.O.!$A:$J,4,),"")</f>
        <v>FORNECIMENTO E INSTALAÇÃO DE TRILHO ELETRIFICADO DE 3 METROS EM ALUMINIO EXTRUDADO COM ACENDIMENTO EM 3 CIRCUITOS INDEPENDENTES NA COR BRANCA  - MODELO ALTRAC PRO COD. TRA00036 FABRICANTE ALTENA OU EQUIVALENTE TECNICO</v>
      </c>
      <c r="E502" s="91" t="str">
        <f>IFERROR(VLOOKUP($A502,[4]P.O.!$A:$J,5,),"")</f>
        <v>UND</v>
      </c>
      <c r="F502" s="139">
        <f>IFERROR(VLOOKUP($A502,[4]P.O.!$A:$J,6,),"")</f>
        <v>11</v>
      </c>
      <c r="G502" s="140">
        <f>IFERROR(VLOOKUP($A502,[4]P.O.!$A:$J,7,),"")</f>
        <v>815.06</v>
      </c>
      <c r="H502" s="140">
        <f>IFERROR(VLOOKUP($A502,[4]P.O.!$A:$J,8,),"")</f>
        <v>1018.83</v>
      </c>
      <c r="I502" s="140">
        <f>IFERROR(VLOOKUP($A502,[4]P.O.!$A:$J,9,),"")</f>
        <v>11207.13</v>
      </c>
      <c r="J502" s="159">
        <f t="shared" si="56"/>
        <v>5.273530382429145E-3</v>
      </c>
      <c r="K502" s="145">
        <f>IFERROR(VLOOKUP($A502,[4]P.O.!$A:$J,10,),"")</f>
        <v>0.25</v>
      </c>
      <c r="L502" s="265"/>
    </row>
    <row r="503" spans="1:12" s="232" customFormat="1" ht="49.5">
      <c r="A503" s="76" t="s">
        <v>116</v>
      </c>
      <c r="B503" s="77" t="str">
        <f>IFERROR(VLOOKUP($A503,[4]P.O.!$A:$J,2,),"")</f>
        <v>COMPS9006</v>
      </c>
      <c r="C503" s="77" t="str">
        <f>IFERROR(VLOOKUP($A503,[4]P.O.!$A:$J,3,),"")</f>
        <v>COMPOSIÇÃO</v>
      </c>
      <c r="D503" s="78" t="str">
        <f>IFERROR(VLOOKUP($A503,[4]P.O.!$A:$J,4,),"")</f>
        <v>FORNECIMENTO E INSTALAÇÃO DE LUMINÁRIA TIPO SPOT ORIENTÁVEL PARA 1 LÂMPADA HALÓGENA PAR 30, EM ALUMINIO EXTRUDADO NA COR BRANCA - MODELO THOR COD. PRO10127 FABRICANTE ALTENA OU EQUIVALENTE TÉCNICO</v>
      </c>
      <c r="E503" s="91" t="str">
        <f>IFERROR(VLOOKUP($A503,[4]P.O.!$A:$J,5,),"")</f>
        <v>UND</v>
      </c>
      <c r="F503" s="139">
        <f>IFERROR(VLOOKUP($A503,[4]P.O.!$A:$J,6,),"")</f>
        <v>45</v>
      </c>
      <c r="G503" s="140">
        <f>IFERROR(VLOOKUP($A503,[4]P.O.!$A:$J,7,),"")</f>
        <v>113.50999999999999</v>
      </c>
      <c r="H503" s="140">
        <f>IFERROR(VLOOKUP($A503,[4]P.O.!$A:$J,8,),"")</f>
        <v>141.88999999999999</v>
      </c>
      <c r="I503" s="140">
        <f>IFERROR(VLOOKUP($A503,[4]P.O.!$A:$J,9,),"")</f>
        <v>6385.05</v>
      </c>
      <c r="J503" s="159">
        <f t="shared" si="56"/>
        <v>3.0044940290983699E-3</v>
      </c>
      <c r="K503" s="145">
        <f>IFERROR(VLOOKUP($A503,[4]P.O.!$A:$J,10,),"")</f>
        <v>0.25</v>
      </c>
      <c r="L503" s="265"/>
    </row>
    <row r="504" spans="1:12" s="249" customFormat="1" ht="49.5">
      <c r="A504" s="79" t="s">
        <v>117</v>
      </c>
      <c r="B504" s="80" t="str">
        <f>IFERROR(VLOOKUP($A504,[4]P.O.!$A:$J,2,),"")</f>
        <v>COMPS9007</v>
      </c>
      <c r="C504" s="80" t="str">
        <f>IFERROR(VLOOKUP($A504,[4]P.O.!$A:$J,3,),"")</f>
        <v>COMPOSIÇÃO</v>
      </c>
      <c r="D504" s="81" t="str">
        <f>IFERROR(VLOOKUP($A504,[4]P.O.!$A:$J,4,),"")</f>
        <v>FORNECIMENTO E INSTALAÇÃO DE LUMINÁRIA TIPO SPOT ORIENTÁVEL PARA 1 LÂMPADA HALÓGENA AR 111, EM ALUMINIO EXTRUDADO NA COR BRANCA - MODELO THOR COD. PRO10131 FABRICANTE ALTENA OU EQUIVALENTE TÉCNICO</v>
      </c>
      <c r="E504" s="142" t="str">
        <f>IFERROR(VLOOKUP($A504,[4]P.O.!$A:$J,5,),"")</f>
        <v>UND</v>
      </c>
      <c r="F504" s="143">
        <f>IFERROR(VLOOKUP($A504,[4]P.O.!$A:$J,6,),"")</f>
        <v>34</v>
      </c>
      <c r="G504" s="144">
        <f>IFERROR(VLOOKUP($A504,[4]P.O.!$A:$J,7,),"")</f>
        <v>227.56</v>
      </c>
      <c r="H504" s="140">
        <f>IFERROR(VLOOKUP($A504,[4]P.O.!$A:$J,8,),"")</f>
        <v>284.45</v>
      </c>
      <c r="I504" s="140">
        <f>IFERROR(VLOOKUP($A504,[4]P.O.!$A:$J,9,),"")</f>
        <v>9671.2999999999993</v>
      </c>
      <c r="J504" s="159">
        <f t="shared" si="56"/>
        <v>4.5508434708606922E-3</v>
      </c>
      <c r="K504" s="145">
        <f>IFERROR(VLOOKUP($A504,[4]P.O.!$A:$J,10,),"")</f>
        <v>0.25</v>
      </c>
      <c r="L504" s="265"/>
    </row>
    <row r="505" spans="1:12" s="249" customFormat="1" ht="49.5">
      <c r="A505" s="79" t="s">
        <v>118</v>
      </c>
      <c r="B505" s="80" t="str">
        <f>IFERROR(VLOOKUP($A505,[4]P.O.!$A:$J,2,),"")</f>
        <v>COMPS9008</v>
      </c>
      <c r="C505" s="80" t="str">
        <f>IFERROR(VLOOKUP($A505,[4]P.O.!$A:$J,3,),"")</f>
        <v>COMPOSIÇÃO</v>
      </c>
      <c r="D505" s="81" t="str">
        <f>IFERROR(VLOOKUP($A505,[4]P.O.!$A:$J,4,),"")</f>
        <v>FORNECIMENTO E INSTALAÇÃO DE LUMINÁRIA TIPO CALHA DE SOBREPOR PARA 2 LÂMPADAS FLUORESCENTES TUBULARES, EM PINTURA ELETROSTÁTICA EPÓXI-PÓ NA COR BRANCA - MODELO 3532 COD. 3532.232.300 FABRICANTE ITAIM OU EQUIVALENTE TECNICO</v>
      </c>
      <c r="E505" s="142" t="str">
        <f>IFERROR(VLOOKUP($A505,[4]P.O.!$A:$J,5,),"")</f>
        <v>UND</v>
      </c>
      <c r="F505" s="143">
        <f>IFERROR(VLOOKUP($A505,[4]P.O.!$A:$J,6,),"")</f>
        <v>1</v>
      </c>
      <c r="G505" s="144">
        <f>IFERROR(VLOOKUP($A505,[4]P.O.!$A:$J,7,),"")</f>
        <v>113.8</v>
      </c>
      <c r="H505" s="140">
        <f>IFERROR(VLOOKUP($A505,[4]P.O.!$A:$J,8,),"")</f>
        <v>142.25</v>
      </c>
      <c r="I505" s="140">
        <f>IFERROR(VLOOKUP($A505,[4]P.O.!$A:$J,9,),"")</f>
        <v>142.25</v>
      </c>
      <c r="J505" s="159">
        <f t="shared" si="56"/>
        <v>6.6935932473393797E-5</v>
      </c>
      <c r="K505" s="145">
        <f>IFERROR(VLOOKUP($A505,[4]P.O.!$A:$J,10,),"")</f>
        <v>0.25</v>
      </c>
      <c r="L505" s="265"/>
    </row>
    <row r="506" spans="1:12" s="249" customFormat="1" ht="66">
      <c r="A506" s="79" t="s">
        <v>119</v>
      </c>
      <c r="B506" s="80" t="str">
        <f>IFERROR(VLOOKUP($A506,[4]P.O.!$A:$J,2,),"")</f>
        <v>COMPS9009</v>
      </c>
      <c r="C506" s="80" t="str">
        <f>IFERROR(VLOOKUP($A506,[4]P.O.!$A:$J,3,),"")</f>
        <v>COMPOSIÇÃO</v>
      </c>
      <c r="D506" s="81" t="str">
        <f>IFERROR(VLOOKUP($A506,[4]P.O.!$A:$J,4,),"")</f>
        <v>FORNECIMENTO E INSTALAÇÃO DE LUMINÁRIA QUADRADA DE EMBUTIR PARA 2 LÂMPADAS FLUORESCENTE COMPACTAS. CORPO E ALETAS PLANAS EM CHAPA DE AÇO TRATADA COM ACABAMENTO EM PINTURA ELETROSTÁTICA EPOXI-PÓ NA COR BRANCA - MODELO SAFIRA COD. 8023.2C6.100 FABRICANTE ITAIM OU EQUIVALENTE TÉCNICO</v>
      </c>
      <c r="E506" s="142" t="str">
        <f>IFERROR(VLOOKUP($A506,[4]P.O.!$A:$J,5,),"")</f>
        <v>UND</v>
      </c>
      <c r="F506" s="143">
        <f>IFERROR(VLOOKUP($A506,[4]P.O.!$A:$J,6,),"")</f>
        <v>51</v>
      </c>
      <c r="G506" s="144">
        <f>IFERROR(VLOOKUP($A506,[4]P.O.!$A:$J,7,),"")</f>
        <v>71.77000000000001</v>
      </c>
      <c r="H506" s="140">
        <f>IFERROR(VLOOKUP($A506,[4]P.O.!$A:$J,8,),"")</f>
        <v>89.71</v>
      </c>
      <c r="I506" s="140">
        <f>IFERROR(VLOOKUP($A506,[4]P.O.!$A:$J,9,),"")</f>
        <v>4575.21</v>
      </c>
      <c r="J506" s="159">
        <f t="shared" si="56"/>
        <v>2.1528713364611322E-3</v>
      </c>
      <c r="K506" s="145">
        <f>IFERROR(VLOOKUP($A506,[4]P.O.!$A:$J,10,),"")</f>
        <v>0.25</v>
      </c>
      <c r="L506" s="265"/>
    </row>
    <row r="507" spans="1:12" s="249" customFormat="1" ht="66">
      <c r="A507" s="79" t="s">
        <v>479</v>
      </c>
      <c r="B507" s="80" t="str">
        <f>IFERROR(VLOOKUP($A507,[4]P.O.!$A:$J,2,),"")</f>
        <v>COMPS9010</v>
      </c>
      <c r="C507" s="80" t="str">
        <f>IFERROR(VLOOKUP($A507,[4]P.O.!$A:$J,3,),"")</f>
        <v>COMPOSIÇÃO</v>
      </c>
      <c r="D507" s="81" t="str">
        <f>IFERROR(VLOOKUP($A507,[4]P.O.!$A:$J,4,),"")</f>
        <v>FORNECIMENTO E INSTALAÇÃO DE LUMINÁRIA PENDENTE TIPO CALHA DE LUZ DIRETA E INDIRETA PARA 2 LÂMPADAS FLUORESCENTE TUBULAR DE 14W. CORPO E ALETAS PLANAS EM CHAPA DE AÇO TRATADA COM ACABAMENTO EM PINTURA ELETROSTÁTICA EPÓXI-PÓ NA COR BRANCA - MODELO 3416 COD. 3416.214.500 FABRICANTE ITAIM OU EQUIVALENTE TÉCNICO</v>
      </c>
      <c r="E507" s="142" t="str">
        <f>IFERROR(VLOOKUP($A507,[4]P.O.!$A:$J,5,),"")</f>
        <v>UND</v>
      </c>
      <c r="F507" s="143">
        <f>IFERROR(VLOOKUP($A507,[4]P.O.!$A:$J,6,),"")</f>
        <v>3</v>
      </c>
      <c r="G507" s="144">
        <f>IFERROR(VLOOKUP($A507,[4]P.O.!$A:$J,7,),"")</f>
        <v>299.11</v>
      </c>
      <c r="H507" s="140">
        <f>IFERROR(VLOOKUP($A507,[4]P.O.!$A:$J,8,),"")</f>
        <v>373.89</v>
      </c>
      <c r="I507" s="140">
        <f>IFERROR(VLOOKUP($A507,[4]P.O.!$A:$J,9,),"")</f>
        <v>1121.67</v>
      </c>
      <c r="J507" s="159">
        <f t="shared" si="56"/>
        <v>5.2780335590461608E-4</v>
      </c>
      <c r="K507" s="145">
        <f>IFERROR(VLOOKUP($A507,[4]P.O.!$A:$J,10,),"")</f>
        <v>0.25</v>
      </c>
      <c r="L507" s="265"/>
    </row>
    <row r="508" spans="1:12" s="249" customFormat="1" ht="66">
      <c r="A508" s="79" t="s">
        <v>480</v>
      </c>
      <c r="B508" s="80" t="str">
        <f>IFERROR(VLOOKUP($A508,[4]P.O.!$A:$J,2,),"")</f>
        <v>COMPS9011</v>
      </c>
      <c r="C508" s="80" t="str">
        <f>IFERROR(VLOOKUP($A508,[4]P.O.!$A:$J,3,),"")</f>
        <v>COMPOSIÇÃO</v>
      </c>
      <c r="D508" s="81" t="str">
        <f>IFERROR(VLOOKUP($A508,[4]P.O.!$A:$J,4,),"")</f>
        <v>FORNECIMENTO E INSTALAÇÃO DE LUMINÁRIA PENDENTE TIPO CALHA DE LUZ DIRETA E INDIRETA PARA 2 LÂMPADAS FLUORESCENTE TUBULAR DE 28W. CORPO E ALETAS PLANAS EM CHAPA DE AÇO TRATADA COM ACABAMENTO EM PINTURA ELETROSTÁTICA EPÓXI-PÓ NA COR BRANCA - MODELO 3416 COD. 3416.228.500 FABRICANTE ITAIM OU EQUIVALENTE TÉCNICO</v>
      </c>
      <c r="E508" s="142" t="str">
        <f>IFERROR(VLOOKUP($A508,[4]P.O.!$A:$J,5,),"")</f>
        <v>UND</v>
      </c>
      <c r="F508" s="143">
        <f>IFERROR(VLOOKUP($A508,[4]P.O.!$A:$J,6,),"")</f>
        <v>6</v>
      </c>
      <c r="G508" s="144">
        <f>IFERROR(VLOOKUP($A508,[4]P.O.!$A:$J,7,),"")</f>
        <v>519.21</v>
      </c>
      <c r="H508" s="140">
        <f>IFERROR(VLOOKUP($A508,[4]P.O.!$A:$J,8,),"")</f>
        <v>649.01</v>
      </c>
      <c r="I508" s="140">
        <f>IFERROR(VLOOKUP($A508,[4]P.O.!$A:$J,9,),"")</f>
        <v>3894.06</v>
      </c>
      <c r="J508" s="159">
        <f t="shared" si="56"/>
        <v>1.8323552703503963E-3</v>
      </c>
      <c r="K508" s="145">
        <f>IFERROR(VLOOKUP($A508,[4]P.O.!$A:$J,10,),"")</f>
        <v>0.25</v>
      </c>
      <c r="L508" s="265"/>
    </row>
    <row r="509" spans="1:12" s="249" customFormat="1" ht="82.5">
      <c r="A509" s="79" t="s">
        <v>481</v>
      </c>
      <c r="B509" s="80" t="str">
        <f>IFERROR(VLOOKUP($A509,[4]P.O.!$A:$J,2,),"")</f>
        <v>COMPS9012</v>
      </c>
      <c r="C509" s="80" t="str">
        <f>IFERROR(VLOOKUP($A509,[4]P.O.!$A:$J,3,),"")</f>
        <v>COMPOSIÇÃO</v>
      </c>
      <c r="D509" s="81" t="str">
        <f>IFERROR(VLOOKUP($A509,[4]P.O.!$A:$J,4,),"")</f>
        <v>FORNECIMENTO E INSTALAÇÃO DE LUMINÁRIA DE SOBREPOR TIPO PLAFON, PARA 1 LÂMPADA FLUORESCENTE COMPACTA, CORPO EM ALUMINIO REPUXADO COM ACABAMENTO EM PINTURA ELETROSTÁTICA EPÓXI PÓ NA COR BRANCA REFLETOR EM ALUMINIO ANODIZADO E DIFUSOR EM VIDRO PLANO TEMPERADO TRANSPARENTE - MODELO MARFIM COD. 8028.1A1.3X0, FABRICANTE ITAIM OU EQUIVALENTE TECNICO.</v>
      </c>
      <c r="E509" s="142" t="str">
        <f>IFERROR(VLOOKUP($A509,[4]P.O.!$A:$J,5,),"")</f>
        <v>UND</v>
      </c>
      <c r="F509" s="143">
        <f>IFERROR(VLOOKUP($A509,[4]P.O.!$A:$J,6,),"")</f>
        <v>2</v>
      </c>
      <c r="G509" s="144">
        <f>IFERROR(VLOOKUP($A509,[4]P.O.!$A:$J,7,),"")</f>
        <v>115.50999999999999</v>
      </c>
      <c r="H509" s="140">
        <f>IFERROR(VLOOKUP($A509,[4]P.O.!$A:$J,8,),"")</f>
        <v>144.38999999999999</v>
      </c>
      <c r="I509" s="140">
        <f>IFERROR(VLOOKUP($A509,[4]P.O.!$A:$J,9,),"")</f>
        <v>288.77999999999997</v>
      </c>
      <c r="J509" s="159">
        <f t="shared" si="56"/>
        <v>1.358858248131224E-4</v>
      </c>
      <c r="K509" s="145">
        <f>IFERROR(VLOOKUP($A509,[4]P.O.!$A:$J,10,),"")</f>
        <v>0.25</v>
      </c>
      <c r="L509" s="265"/>
    </row>
    <row r="510" spans="1:12" s="249" customFormat="1" ht="49.5">
      <c r="A510" s="79" t="s">
        <v>482</v>
      </c>
      <c r="B510" s="80" t="str">
        <f>IFERROR(VLOOKUP($A510,[4]P.O.!$A:$J,2,),"")</f>
        <v>COMPS9013</v>
      </c>
      <c r="C510" s="80" t="str">
        <f>IFERROR(VLOOKUP($A510,[4]P.O.!$A:$J,3,),"")</f>
        <v>COMPOSIÇÃO</v>
      </c>
      <c r="D510" s="81" t="str">
        <f>IFERROR(VLOOKUP($A510,[4]P.O.!$A:$J,4,),"")</f>
        <v>FORNECIMENTO E INSTALAÇÃO DE LUMINÁRIA TIPO PENDENTE EM ALUMINIO NA COR BRANCA PARA 1 LAMPADA HALOGENA PAR 16  - MODELO SOTTILE COD. ST20014, FABRICANTE NEW LINE OU EQUIVALENTE TECNICO</v>
      </c>
      <c r="E510" s="142" t="str">
        <f>IFERROR(VLOOKUP($A510,[4]P.O.!$A:$J,5,),"")</f>
        <v>UND</v>
      </c>
      <c r="F510" s="143">
        <f>IFERROR(VLOOKUP($A510,[4]P.O.!$A:$J,6,),"")</f>
        <v>4</v>
      </c>
      <c r="G510" s="144">
        <f>IFERROR(VLOOKUP($A510,[4]P.O.!$A:$J,7,),"")</f>
        <v>245.78</v>
      </c>
      <c r="H510" s="140">
        <f>IFERROR(VLOOKUP($A510,[4]P.O.!$A:$J,8,),"")</f>
        <v>307.23</v>
      </c>
      <c r="I510" s="140">
        <f>IFERROR(VLOOKUP($A510,[4]P.O.!$A:$J,9,),"")</f>
        <v>1228.92</v>
      </c>
      <c r="J510" s="159">
        <f t="shared" si="56"/>
        <v>5.782699904056458E-4</v>
      </c>
      <c r="K510" s="145">
        <f>IFERROR(VLOOKUP($A510,[4]P.O.!$A:$J,10,),"")</f>
        <v>0.25</v>
      </c>
      <c r="L510" s="265"/>
    </row>
    <row r="511" spans="1:12" s="249" customFormat="1">
      <c r="A511" s="79"/>
      <c r="B511" s="80"/>
      <c r="C511" s="80"/>
      <c r="D511" s="81"/>
      <c r="E511" s="142"/>
      <c r="F511" s="143"/>
      <c r="G511" s="144"/>
      <c r="H511" s="144"/>
      <c r="I511" s="140"/>
      <c r="J511" s="233"/>
      <c r="K511" s="145"/>
    </row>
    <row r="512" spans="1:12" s="234" customFormat="1">
      <c r="A512" s="82" t="s">
        <v>120</v>
      </c>
      <c r="B512" s="83"/>
      <c r="C512" s="83"/>
      <c r="D512" s="84" t="str">
        <f>IFERROR(VLOOKUP($A512,[4]P.O.!$A:$J,4,),"")</f>
        <v>LUMINÁRIAS EXTERNAS</v>
      </c>
      <c r="E512" s="146"/>
      <c r="F512" s="147"/>
      <c r="G512" s="148"/>
      <c r="H512" s="148"/>
      <c r="I512" s="180"/>
      <c r="J512" s="238"/>
      <c r="K512" s="149"/>
    </row>
    <row r="513" spans="1:12" s="249" customFormat="1" ht="82.5">
      <c r="A513" s="79" t="s">
        <v>121</v>
      </c>
      <c r="B513" s="80" t="str">
        <f>IFERROR(VLOOKUP($A513,[4]P.O.!$A:$J,2,),"")</f>
        <v>COMPS9014</v>
      </c>
      <c r="C513" s="80" t="str">
        <f>IFERROR(VLOOKUP($A513,[4]P.O.!$A:$J,3,),"")</f>
        <v>COMPOSIÇÃO</v>
      </c>
      <c r="D513" s="81" t="str">
        <f>IFERROR(VLOOKUP($A513,[4]P.O.!$A:$J,4,),"")</f>
        <v>FORNECIMENTO E INSTALAÇÃO DE LUMINÁRIA CIRCULAR PARA POSTE, TIPO PÉTALA, PARA 1 LÂMPADA DE VAPOR METÁLICO TUBULAR DE 250W, NA COR PRETA, DIFUSOR EM VIDRO PLANO TRANSPARENTE TEMPERADO, ALOJAMENTO PARA OS EQUIPAMENTOS AUXILIARES NA PRÓPRIA LUMINÁRIA; MODELO SODALITA-P 1XHIT 250W REFERENCIA 8371.1A3.610, FABRICANTE ITAIM OU EQUIVALENTE TECNICO</v>
      </c>
      <c r="E513" s="142" t="str">
        <f>IFERROR(VLOOKUP($A513,[4]P.O.!$A:$J,5,),"")</f>
        <v>UND</v>
      </c>
      <c r="F513" s="143">
        <f>IFERROR(VLOOKUP($A513,[4]P.O.!$A:$J,6,),"")</f>
        <v>9</v>
      </c>
      <c r="G513" s="144">
        <f>IFERROR(VLOOKUP($A513,[4]P.O.!$A:$J,7,),"")</f>
        <v>844.1</v>
      </c>
      <c r="H513" s="140">
        <f>IFERROR(VLOOKUP($A513,[4]P.O.!$A:$J,8,),"")</f>
        <v>1055.1300000000001</v>
      </c>
      <c r="I513" s="140">
        <f>IFERROR(VLOOKUP($A513,[4]P.O.!$A:$J,9,),"")</f>
        <v>9496.17</v>
      </c>
      <c r="J513" s="159">
        <f t="shared" ref="J513:J521" si="57">IF(I513="","",I513/$E$777)</f>
        <v>4.4684358093206892E-3</v>
      </c>
      <c r="K513" s="145">
        <f>IFERROR(VLOOKUP($A513,[4]P.O.!$A:$J,10,),"")</f>
        <v>0.25</v>
      </c>
      <c r="L513" s="265"/>
    </row>
    <row r="514" spans="1:12" s="249" customFormat="1" ht="82.5">
      <c r="A514" s="79" t="s">
        <v>122</v>
      </c>
      <c r="B514" s="80" t="str">
        <f>IFERROR(VLOOKUP($A514,[4]P.O.!$A:$J,2,),"")</f>
        <v>COMPS9015</v>
      </c>
      <c r="C514" s="80" t="str">
        <f>IFERROR(VLOOKUP($A514,[4]P.O.!$A:$J,3,),"")</f>
        <v>COMPOSIÇÃO</v>
      </c>
      <c r="D514" s="81" t="str">
        <f>IFERROR(VLOOKUP($A514,[4]P.O.!$A:$J,4,),"")</f>
        <v>FORNECIMENTO E INSTALAÇÃO DE LUMINÁRIA CIRCULAR DE EMBUTIR NO SOLO, PARA 1 LÂMPADA HALÓGENA REFLETORA PAR-30 DE 75W, PINTURA ELETROSTÁTICA EPÓXI-PÓ NA COR PRETA, DIFUSOR EM VIDRO PLANO TEMPERADO TRANSPARENTE E TUBO RÍGIDO EM PVC COM GRAU DE PROTEÇÃO IP65 PARA INSTALAÇÃO DA LUMINÁRIA; MODELO YBYPÊ 1XQPAR30 75W, REFERENCIA 8264.1A1.71P, FABRICANTE ITAIM OU EQUIVALENTE TECNICO</v>
      </c>
      <c r="E514" s="142" t="str">
        <f>IFERROR(VLOOKUP($A514,[4]P.O.!$A:$J,5,),"")</f>
        <v>UND</v>
      </c>
      <c r="F514" s="143">
        <f>IFERROR(VLOOKUP($A514,[4]P.O.!$A:$J,6,),"")</f>
        <v>12</v>
      </c>
      <c r="G514" s="144">
        <f>IFERROR(VLOOKUP($A514,[4]P.O.!$A:$J,7,),"")</f>
        <v>192.07</v>
      </c>
      <c r="H514" s="140">
        <f>IFERROR(VLOOKUP($A514,[4]P.O.!$A:$J,8,),"")</f>
        <v>240.09</v>
      </c>
      <c r="I514" s="140">
        <f>IFERROR(VLOOKUP($A514,[4]P.O.!$A:$J,9,),"")</f>
        <v>2881.08</v>
      </c>
      <c r="J514" s="159">
        <f t="shared" si="57"/>
        <v>1.3556961429205302E-3</v>
      </c>
      <c r="K514" s="145">
        <f>IFERROR(VLOOKUP($A514,[4]P.O.!$A:$J,10,),"")</f>
        <v>0.25</v>
      </c>
      <c r="L514" s="265"/>
    </row>
    <row r="515" spans="1:12" s="249" customFormat="1" ht="49.5">
      <c r="A515" s="79" t="s">
        <v>123</v>
      </c>
      <c r="B515" s="80" t="str">
        <f>IFERROR(VLOOKUP($A515,[4]P.O.!$A:$J,2,),"")</f>
        <v>COMPS9016</v>
      </c>
      <c r="C515" s="80" t="str">
        <f>IFERROR(VLOOKUP($A515,[4]P.O.!$A:$J,3,),"")</f>
        <v>COMPOSIÇÃO</v>
      </c>
      <c r="D515" s="81" t="str">
        <f>IFERROR(VLOOKUP($A515,[4]P.O.!$A:$J,4,),"")</f>
        <v>FORNECIMENTO E INSTALAÇÃO DE MINI BALIZADOR COM CORPO EM ALUMINIO, DOTADA DE LED DE 0,2W COM EMISSÃO DIFUSA, NA COR PRETA. IP 67, LED COM TEMPERATURA DE COR DE 3.000K MODELO FIT FABRICANTE LED PLUS OU EQUIVALENTE TÉCNICO</v>
      </c>
      <c r="E515" s="142" t="str">
        <f>IFERROR(VLOOKUP($A515,[4]P.O.!$A:$J,5,),"")</f>
        <v>UND</v>
      </c>
      <c r="F515" s="143">
        <f>IFERROR(VLOOKUP($A515,[4]P.O.!$A:$J,6,),"")</f>
        <v>14</v>
      </c>
      <c r="G515" s="144">
        <f>IFERROR(VLOOKUP($A515,[4]P.O.!$A:$J,7,),"")</f>
        <v>305.77999999999997</v>
      </c>
      <c r="H515" s="140">
        <f>IFERROR(VLOOKUP($A515,[4]P.O.!$A:$J,8,),"")</f>
        <v>382.23</v>
      </c>
      <c r="I515" s="140">
        <f>IFERROR(VLOOKUP($A515,[4]P.O.!$A:$J,9,),"")</f>
        <v>5351.22</v>
      </c>
      <c r="J515" s="159">
        <f t="shared" si="57"/>
        <v>2.5180239055906813E-3</v>
      </c>
      <c r="K515" s="145">
        <f>IFERROR(VLOOKUP($A515,[4]P.O.!$A:$J,10,),"")</f>
        <v>0.25</v>
      </c>
      <c r="L515" s="265"/>
    </row>
    <row r="516" spans="1:12" s="249" customFormat="1" ht="82.5">
      <c r="A516" s="79" t="s">
        <v>124</v>
      </c>
      <c r="B516" s="80" t="str">
        <f>IFERROR(VLOOKUP($A516,[4]P.O.!$A:$J,2,),"")</f>
        <v>COMPS9017</v>
      </c>
      <c r="C516" s="80" t="str">
        <f>IFERROR(VLOOKUP($A516,[4]P.O.!$A:$J,3,),"")</f>
        <v>COMPOSIÇÃO</v>
      </c>
      <c r="D516" s="81" t="str">
        <f>IFERROR(VLOOKUP($A516,[4]P.O.!$A:$J,4,),"")</f>
        <v>FORNECIMENTO E INSTALAÇÃO DE LUMINÁRIA DE SOBREPOR TIPO SPOT COM FOCO ORIENTÁVEL, PARA 1 LÂMPADA HALÓGENA PAR30 DE 75W. CORPO EM ALUMÍNIO REPUXADO COM ACABAMENTO EM PINTURA ELETROSTÁTICA EPÓXI-PÓ NA COR PRETA. POSSUI ESPETO PARA FIXAÇÃO NO SOLO - MODELO TURQUESA COD. 8077.1A1.70P, FABRICANTE ITAIM OU EQUIVALENTE TECNICO</v>
      </c>
      <c r="E516" s="142" t="str">
        <f>IFERROR(VLOOKUP($A516,[4]P.O.!$A:$J,5,),"")</f>
        <v>UND</v>
      </c>
      <c r="F516" s="143">
        <f>IFERROR(VLOOKUP($A516,[4]P.O.!$A:$J,6,),"")</f>
        <v>6</v>
      </c>
      <c r="G516" s="144">
        <f>IFERROR(VLOOKUP($A516,[4]P.O.!$A:$J,7,),"")</f>
        <v>57.07</v>
      </c>
      <c r="H516" s="140">
        <f>IFERROR(VLOOKUP($A516,[4]P.O.!$A:$J,8,),"")</f>
        <v>71.34</v>
      </c>
      <c r="I516" s="140">
        <f>IFERROR(VLOOKUP($A516,[4]P.O.!$A:$J,9,),"")</f>
        <v>428.04</v>
      </c>
      <c r="J516" s="159">
        <f t="shared" si="57"/>
        <v>2.0141480868830568E-4</v>
      </c>
      <c r="K516" s="145">
        <f>IFERROR(VLOOKUP($A516,[4]P.O.!$A:$J,10,),"")</f>
        <v>0.25</v>
      </c>
      <c r="L516" s="265"/>
    </row>
    <row r="517" spans="1:12" s="249" customFormat="1" ht="66">
      <c r="A517" s="79" t="s">
        <v>125</v>
      </c>
      <c r="B517" s="80" t="str">
        <f>IFERROR(VLOOKUP($A517,[4]P.O.!$A:$J,2,),"")</f>
        <v>COMPS9018</v>
      </c>
      <c r="C517" s="80" t="str">
        <f>IFERROR(VLOOKUP($A517,[4]P.O.!$A:$J,3,),"")</f>
        <v>COMPOSIÇÃO</v>
      </c>
      <c r="D517" s="81" t="str">
        <f>IFERROR(VLOOKUP($A517,[4]P.O.!$A:$J,4,),"")</f>
        <v>FORNECIMENTO E INSTALAÇÃO DE BALIZADOR EM ALUMÍNIO TRATADO E PINTADO POR PROCESSO ELETROSTÁTICO NA COR CINZA PARA 1 LÂMPADA FLUORESCENTE COMPACTA TRIPLA 18W, (HXLXP) 705X130X130MM IP 54, FABRICANTE KUBE H COD. 18 T LC, FABRICANTE LUMINI OU EQUIVALENTE TECNICO</v>
      </c>
      <c r="E517" s="142" t="str">
        <f>IFERROR(VLOOKUP($A517,[4]P.O.!$A:$J,5,),"")</f>
        <v>UND</v>
      </c>
      <c r="F517" s="143">
        <f>IFERROR(VLOOKUP($A517,[4]P.O.!$A:$J,6,),"")</f>
        <v>4</v>
      </c>
      <c r="G517" s="144">
        <f>IFERROR(VLOOKUP($A517,[4]P.O.!$A:$J,7,),"")</f>
        <v>222.51</v>
      </c>
      <c r="H517" s="140">
        <f>IFERROR(VLOOKUP($A517,[4]P.O.!$A:$J,8,),"")</f>
        <v>278.14</v>
      </c>
      <c r="I517" s="140">
        <f>IFERROR(VLOOKUP($A517,[4]P.O.!$A:$J,9,),"")</f>
        <v>1112.56</v>
      </c>
      <c r="J517" s="159">
        <f t="shared" si="57"/>
        <v>5.2351663291809491E-4</v>
      </c>
      <c r="K517" s="145">
        <f>IFERROR(VLOOKUP($A517,[4]P.O.!$A:$J,10,),"")</f>
        <v>0.25</v>
      </c>
      <c r="L517" s="265"/>
    </row>
    <row r="518" spans="1:12" s="249" customFormat="1" ht="33">
      <c r="A518" s="79" t="s">
        <v>126</v>
      </c>
      <c r="B518" s="80" t="str">
        <f>IFERROR(VLOOKUP($A518,[4]P.O.!$A:$J,2,),"")</f>
        <v>COMPS9019</v>
      </c>
      <c r="C518" s="80" t="str">
        <f>IFERROR(VLOOKUP($A518,[4]P.O.!$A:$J,3,),"")</f>
        <v>COMPOSIÇÃO</v>
      </c>
      <c r="D518" s="81" t="str">
        <f>IFERROR(VLOOKUP($A518,[4]P.O.!$A:$J,4,),"")</f>
        <v>FORNECIMENTO E INSTALAÇÃO DE POSTE METALICO DECORATIVO EXTERNO PARA JARDIM H = 3,50M D = 75MM, FLANGEADO</v>
      </c>
      <c r="E518" s="142" t="str">
        <f>IFERROR(VLOOKUP($A518,[4]P.O.!$A:$J,5,),"")</f>
        <v>UND</v>
      </c>
      <c r="F518" s="143">
        <f>IFERROR(VLOOKUP($A518,[4]P.O.!$A:$J,6,),"")</f>
        <v>8</v>
      </c>
      <c r="G518" s="144">
        <f>IFERROR(VLOOKUP($A518,[4]P.O.!$A:$J,7,),"")</f>
        <v>785.53</v>
      </c>
      <c r="H518" s="140">
        <f>IFERROR(VLOOKUP($A518,[4]P.O.!$A:$J,8,),"")</f>
        <v>981.91</v>
      </c>
      <c r="I518" s="140">
        <f>IFERROR(VLOOKUP($A518,[4]P.O.!$A:$J,9,),"")</f>
        <v>7855.28</v>
      </c>
      <c r="J518" s="159">
        <f t="shared" si="57"/>
        <v>3.6963127707529057E-3</v>
      </c>
      <c r="K518" s="145">
        <f>IFERROR(VLOOKUP($A518,[4]P.O.!$A:$J,10,),"")</f>
        <v>0.25</v>
      </c>
      <c r="L518" s="265"/>
    </row>
    <row r="519" spans="1:12" s="249" customFormat="1" ht="49.5">
      <c r="A519" s="79" t="s">
        <v>483</v>
      </c>
      <c r="B519" s="80" t="str">
        <f>IFERROR(VLOOKUP($A519,[4]P.O.!$A:$J,2,),"")</f>
        <v>COMPS9020</v>
      </c>
      <c r="C519" s="80" t="str">
        <f>IFERROR(VLOOKUP($A519,[4]P.O.!$A:$J,3,),"")</f>
        <v>COMPOSIÇÃO</v>
      </c>
      <c r="D519" s="81" t="str">
        <f>IFERROR(VLOOKUP($A519,[4]P.O.!$A:$J,4,),"")</f>
        <v>FORNECIMENTO E INSTALAÇÃO DE PROJETOR DE EMBUTIR NO SOLO PARA LAMPADA VAPOR METÁLICO DE BULBO CERÂMICO, COM FECHAMENTO EM VIDRO TEMPERADO 19MM, FACHO FECHADO, TEMPERATURA DE COR 3.000K</v>
      </c>
      <c r="E519" s="142" t="str">
        <f>IFERROR(VLOOKUP($A519,[4]P.O.!$A:$J,5,),"")</f>
        <v>UND</v>
      </c>
      <c r="F519" s="143">
        <f>IFERROR(VLOOKUP($A519,[4]P.O.!$A:$J,6,),"")</f>
        <v>4</v>
      </c>
      <c r="G519" s="144">
        <f>IFERROR(VLOOKUP($A519,[4]P.O.!$A:$J,7,),"")</f>
        <v>502.22</v>
      </c>
      <c r="H519" s="140">
        <f>IFERROR(VLOOKUP($A519,[4]P.O.!$A:$J,8,),"")</f>
        <v>627.78</v>
      </c>
      <c r="I519" s="140">
        <f>IFERROR(VLOOKUP($A519,[4]P.O.!$A:$J,9,),"")</f>
        <v>2511.12</v>
      </c>
      <c r="J519" s="159">
        <f t="shared" si="57"/>
        <v>1.181610957838936E-3</v>
      </c>
      <c r="K519" s="145">
        <f>IFERROR(VLOOKUP($A519,[4]P.O.!$A:$J,10,),"")</f>
        <v>0.25</v>
      </c>
      <c r="L519" s="265"/>
    </row>
    <row r="520" spans="1:12" s="249" customFormat="1" ht="49.5">
      <c r="A520" s="79" t="s">
        <v>484</v>
      </c>
      <c r="B520" s="80" t="str">
        <f>IFERROR(VLOOKUP($A520,[4]P.O.!$A:$J,2,),"")</f>
        <v>COMPS9021</v>
      </c>
      <c r="C520" s="80" t="str">
        <f>IFERROR(VLOOKUP($A520,[4]P.O.!$A:$J,3,),"")</f>
        <v>COMPOSIÇÃO</v>
      </c>
      <c r="D520" s="81" t="str">
        <f>IFERROR(VLOOKUP($A520,[4]P.O.!$A:$J,4,),"")</f>
        <v>FORNECIMENTO E INSTALAÇÃO DE LUMINÁRIA LINEAR COM 48 LEDS DE POTÊNCIA, TEMP. DE COR 2700K, COMPRIMENTO DE 1219MM, FACHO DE ABERTURA 30°X60° FIXAÇÃO ATRAVÉS DE SUPORTE NA COR ALUMÍNIO COM INCLINAÇÃO DO PROJETOR PARA FOCALIZAÇÃO DE ATÉ 115°.</v>
      </c>
      <c r="E520" s="142" t="str">
        <f>IFERROR(VLOOKUP($A520,[4]P.O.!$A:$J,5,),"")</f>
        <v>UND</v>
      </c>
      <c r="F520" s="143">
        <f>IFERROR(VLOOKUP($A520,[4]P.O.!$A:$J,6,),"")</f>
        <v>9</v>
      </c>
      <c r="G520" s="144">
        <f>IFERROR(VLOOKUP($A520,[4]P.O.!$A:$J,7,),"")</f>
        <v>1676.63</v>
      </c>
      <c r="H520" s="140">
        <f>IFERROR(VLOOKUP($A520,[4]P.O.!$A:$J,8,),"")</f>
        <v>2095.79</v>
      </c>
      <c r="I520" s="140">
        <f>IFERROR(VLOOKUP($A520,[4]P.O.!$A:$J,9,),"")</f>
        <v>18862.11</v>
      </c>
      <c r="J520" s="159">
        <f t="shared" si="57"/>
        <v>8.8755917136430652E-3</v>
      </c>
      <c r="K520" s="145">
        <f>IFERROR(VLOOKUP($A520,[4]P.O.!$A:$J,10,),"")</f>
        <v>0.25</v>
      </c>
      <c r="L520" s="265"/>
    </row>
    <row r="521" spans="1:12" s="249" customFormat="1" ht="66">
      <c r="A521" s="79" t="s">
        <v>485</v>
      </c>
      <c r="B521" s="80" t="str">
        <f>IFERROR(VLOOKUP($A521,[4]P.O.!$A:$J,2,),"")</f>
        <v>COMPS9022</v>
      </c>
      <c r="C521" s="80" t="str">
        <f>IFERROR(VLOOKUP($A521,[4]P.O.!$A:$J,3,),"")</f>
        <v>COMPOSIÇÃO</v>
      </c>
      <c r="D521" s="81" t="str">
        <f>IFERROR(VLOOKUP($A521,[4]P.O.!$A:$J,4,),"")</f>
        <v>FORNECIMENTO E INSTALAÇÃO DE LUMINÁRIA LINEAR COM LEDS DE POTÊNCIA NA COR BRANCA, TEMP. DE COR 2700K, COMPRIMENTO DE 1219MM, FACHO DE ABERTUA 90°X90°, FIXAÇÃO ATRAVÉS DE SUPORTE NA COR ALUMÍNIO COM INCLINAÇÃO DO PROJETOR PARA FOCALIZAÇÃO DE ATÉ 115°.</v>
      </c>
      <c r="E521" s="142" t="str">
        <f>IFERROR(VLOOKUP($A521,[4]P.O.!$A:$J,5,),"")</f>
        <v>UND</v>
      </c>
      <c r="F521" s="143">
        <f>IFERROR(VLOOKUP($A521,[4]P.O.!$A:$J,6,),"")</f>
        <v>46</v>
      </c>
      <c r="G521" s="144">
        <f>IFERROR(VLOOKUP($A521,[4]P.O.!$A:$J,7,),"")</f>
        <v>1241.74</v>
      </c>
      <c r="H521" s="140">
        <f>IFERROR(VLOOKUP($A521,[4]P.O.!$A:$J,8,),"")</f>
        <v>1552.18</v>
      </c>
      <c r="I521" s="140">
        <f>IFERROR(VLOOKUP($A521,[4]P.O.!$A:$J,9,),"")</f>
        <v>71400.28</v>
      </c>
      <c r="J521" s="159">
        <f t="shared" si="57"/>
        <v>3.3597499618006399E-2</v>
      </c>
      <c r="K521" s="145">
        <f>IFERROR(VLOOKUP($A521,[4]P.O.!$A:$J,10,),"")</f>
        <v>0.25</v>
      </c>
      <c r="L521" s="265"/>
    </row>
    <row r="522" spans="1:12" s="249" customFormat="1">
      <c r="A522" s="79"/>
      <c r="B522" s="80"/>
      <c r="C522" s="80"/>
      <c r="D522" s="81"/>
      <c r="E522" s="142"/>
      <c r="F522" s="143"/>
      <c r="G522" s="144"/>
      <c r="H522" s="144"/>
      <c r="I522" s="140"/>
      <c r="J522" s="233"/>
      <c r="K522" s="145"/>
    </row>
    <row r="523" spans="1:12" s="234" customFormat="1">
      <c r="A523" s="82" t="s">
        <v>127</v>
      </c>
      <c r="B523" s="83"/>
      <c r="C523" s="83"/>
      <c r="D523" s="84" t="str">
        <f>IFERROR(VLOOKUP($A523,[4]P.O.!$A:$J,4,),"")</f>
        <v>LAMPADAS E REATORES</v>
      </c>
      <c r="E523" s="146"/>
      <c r="F523" s="147"/>
      <c r="G523" s="148"/>
      <c r="H523" s="148"/>
      <c r="I523" s="180"/>
      <c r="J523" s="238"/>
      <c r="K523" s="149"/>
    </row>
    <row r="524" spans="1:12" s="249" customFormat="1" ht="33">
      <c r="A524" s="79" t="s">
        <v>128</v>
      </c>
      <c r="B524" s="80" t="str">
        <f>IFERROR(VLOOKUP($A524,[4]P.O.!$A:$J,2,),"")</f>
        <v>COMPS9023</v>
      </c>
      <c r="C524" s="80" t="str">
        <f>IFERROR(VLOOKUP($A524,[4]P.O.!$A:$J,3,),"")</f>
        <v>COMPOSIÇÃO</v>
      </c>
      <c r="D524" s="81" t="str">
        <f>IFERROR(VLOOKUP($A524,[4]P.O.!$A:$J,4,),"")</f>
        <v>FORNECIMENTO E INSTALAÇÃO DE LAMPADA FLUORESCENTE COMPACTA ELETRONICA 20W, MOD. DULUXSTAR 20W/827, SOQUETE E-27, FAB. OSRAW OU EQUIVALENTE TECNICO</v>
      </c>
      <c r="E524" s="142" t="str">
        <f>IFERROR(VLOOKUP($A524,[4]P.O.!$A:$J,5,),"")</f>
        <v>UND</v>
      </c>
      <c r="F524" s="143">
        <f>IFERROR(VLOOKUP($A524,[4]P.O.!$A:$J,6,),"")</f>
        <v>6</v>
      </c>
      <c r="G524" s="144">
        <f>IFERROR(VLOOKUP($A524,[4]P.O.!$A:$J,7,),"")</f>
        <v>8.73</v>
      </c>
      <c r="H524" s="140">
        <f>IFERROR(VLOOKUP($A524,[4]P.O.!$A:$J,8,),"")</f>
        <v>10.91</v>
      </c>
      <c r="I524" s="140">
        <f>IFERROR(VLOOKUP($A524,[4]P.O.!$A:$J,9,),"")</f>
        <v>65.459999999999994</v>
      </c>
      <c r="J524" s="159">
        <f t="shared" ref="J524:J543" si="58">IF(I524="","",I524/$E$777)</f>
        <v>3.080229272202712E-5</v>
      </c>
      <c r="K524" s="145">
        <f>IFERROR(VLOOKUP($A524,[4]P.O.!$A:$J,10,),"")</f>
        <v>0.25</v>
      </c>
      <c r="L524" s="265"/>
    </row>
    <row r="525" spans="1:12" s="249" customFormat="1" ht="33">
      <c r="A525" s="79" t="s">
        <v>129</v>
      </c>
      <c r="B525" s="80" t="str">
        <f>IFERROR(VLOOKUP($A525,[4]P.O.!$A:$J,2,),"")</f>
        <v>COMPS9024</v>
      </c>
      <c r="C525" s="80" t="str">
        <f>IFERROR(VLOOKUP($A525,[4]P.O.!$A:$J,3,),"")</f>
        <v>COMPOSIÇÃO</v>
      </c>
      <c r="D525" s="81" t="str">
        <f>IFERROR(VLOOKUP($A525,[4]P.O.!$A:$J,4,),"")</f>
        <v>FORNECIMENTO E INSTALAÇÃO DE LAMPADA FLUORESCENTE COMPACTA ELETRONICA 20W, MOD. DULUXSTAR 20W/865, SOQUETE E-27, FAB. OSRAW OU EQUIVALENTE TECNICO</v>
      </c>
      <c r="E525" s="142" t="str">
        <f>IFERROR(VLOOKUP($A525,[4]P.O.!$A:$J,5,),"")</f>
        <v>UND</v>
      </c>
      <c r="F525" s="143">
        <f>IFERROR(VLOOKUP($A525,[4]P.O.!$A:$J,6,),"")</f>
        <v>60</v>
      </c>
      <c r="G525" s="144">
        <f>IFERROR(VLOOKUP($A525,[4]P.O.!$A:$J,7,),"")</f>
        <v>10.71</v>
      </c>
      <c r="H525" s="140">
        <f>IFERROR(VLOOKUP($A525,[4]P.O.!$A:$J,8,),"")</f>
        <v>13.39</v>
      </c>
      <c r="I525" s="140">
        <f>IFERROR(VLOOKUP($A525,[4]P.O.!$A:$J,9,),"")</f>
        <v>803.4</v>
      </c>
      <c r="J525" s="159">
        <f t="shared" si="58"/>
        <v>3.7804097117135032E-4</v>
      </c>
      <c r="K525" s="145">
        <f>IFERROR(VLOOKUP($A525,[4]P.O.!$A:$J,10,),"")</f>
        <v>0.25</v>
      </c>
      <c r="L525" s="265"/>
    </row>
    <row r="526" spans="1:12" s="232" customFormat="1" ht="33">
      <c r="A526" s="76" t="s">
        <v>486</v>
      </c>
      <c r="B526" s="77" t="str">
        <f>IFERROR(VLOOKUP($A526,[4]P.O.!$A:$J,2,),"")</f>
        <v>COMPS9025</v>
      </c>
      <c r="C526" s="77" t="str">
        <f>IFERROR(VLOOKUP($A526,[4]P.O.!$A:$J,3,),"")</f>
        <v>COMPOSIÇÃO</v>
      </c>
      <c r="D526" s="78" t="str">
        <f>IFERROR(VLOOKUP($A526,[4]P.O.!$A:$J,4,),"")</f>
        <v>FORNECIMENTO E INSTALAÇÃO DE LÂMPADA HALÓGENA REFLETORA PAR-30 DE 75W, SOQUETE E-27</v>
      </c>
      <c r="E526" s="91" t="str">
        <f>IFERROR(VLOOKUP($A526,[4]P.O.!$A:$J,5,),"")</f>
        <v>UND</v>
      </c>
      <c r="F526" s="139">
        <f>IFERROR(VLOOKUP($A526,[4]P.O.!$A:$J,6,),"")</f>
        <v>63</v>
      </c>
      <c r="G526" s="140">
        <f>IFERROR(VLOOKUP($A526,[4]P.O.!$A:$J,7,),"")</f>
        <v>32.160000000000004</v>
      </c>
      <c r="H526" s="140">
        <f>IFERROR(VLOOKUP($A526,[4]P.O.!$A:$J,8,),"")</f>
        <v>40.200000000000003</v>
      </c>
      <c r="I526" s="140">
        <f>IFERROR(VLOOKUP($A526,[4]P.O.!$A:$J,9,),"")</f>
        <v>2532.6</v>
      </c>
      <c r="J526" s="159">
        <f t="shared" si="58"/>
        <v>1.191718401280261E-3</v>
      </c>
      <c r="K526" s="145">
        <f>IFERROR(VLOOKUP($A526,[4]P.O.!$A:$J,10,),"")</f>
        <v>0.25</v>
      </c>
      <c r="L526" s="265"/>
    </row>
    <row r="527" spans="1:12" s="232" customFormat="1" ht="33">
      <c r="A527" s="76" t="s">
        <v>487</v>
      </c>
      <c r="B527" s="77" t="str">
        <f>IFERROR(VLOOKUP($A527,[4]P.O.!$A:$J,2,),"")</f>
        <v>COMPS9026</v>
      </c>
      <c r="C527" s="77" t="str">
        <f>IFERROR(VLOOKUP($A527,[4]P.O.!$A:$J,3,),"")</f>
        <v>COMPOSIÇÃO</v>
      </c>
      <c r="D527" s="78" t="str">
        <f>IFERROR(VLOOKUP($A527,[4]P.O.!$A:$J,4,),"")</f>
        <v>FORNECIMENTO E INSTALAÇÃO DE LAMPADA FLUORESCENTE TUBULAR T8 32W, COMP. 1200MM MOD. FLUORESCENTE TUBULAR T8 F032W/830, FAB. OSRAW OU EQUIVALENTE TECNICO</v>
      </c>
      <c r="E527" s="91" t="str">
        <f>IFERROR(VLOOKUP($A527,[4]P.O.!$A:$J,5,),"")</f>
        <v>UND</v>
      </c>
      <c r="F527" s="139">
        <f>IFERROR(VLOOKUP($A527,[4]P.O.!$A:$J,6,),"")</f>
        <v>2</v>
      </c>
      <c r="G527" s="140">
        <f>IFERROR(VLOOKUP($A527,[4]P.O.!$A:$J,7,),"")</f>
        <v>9.33</v>
      </c>
      <c r="H527" s="140">
        <f>IFERROR(VLOOKUP($A527,[4]P.O.!$A:$J,8,),"")</f>
        <v>11.66</v>
      </c>
      <c r="I527" s="140">
        <f>IFERROR(VLOOKUP($A527,[4]P.O.!$A:$J,9,),"")</f>
        <v>23.32</v>
      </c>
      <c r="J527" s="159">
        <f t="shared" si="58"/>
        <v>1.0973257963300833E-5</v>
      </c>
      <c r="K527" s="145">
        <f>IFERROR(VLOOKUP($A527,[4]P.O.!$A:$J,10,),"")</f>
        <v>0.25</v>
      </c>
      <c r="L527" s="265"/>
    </row>
    <row r="528" spans="1:12" s="232" customFormat="1" ht="49.5">
      <c r="A528" s="76" t="s">
        <v>488</v>
      </c>
      <c r="B528" s="77" t="str">
        <f>IFERROR(VLOOKUP($A528,[4]P.O.!$A:$J,2,),"")</f>
        <v>COMPS9027</v>
      </c>
      <c r="C528" s="77" t="str">
        <f>IFERROR(VLOOKUP($A528,[4]P.O.!$A:$J,3,),"")</f>
        <v>COMPOSIÇÃO</v>
      </c>
      <c r="D528" s="78" t="str">
        <f>IFERROR(VLOOKUP($A528,[4]P.O.!$A:$J,4,),"")</f>
        <v>FORNECIMENTO E INSTALAÇÃO DE REATOR ELETRONICO PARA 2 LAMPADA TUBULAR 32W MODELO QUICKTRONIC PROFISSIONAL QTP8 2X32 T8 UNV ISN-SC 220V, FAB. OSRAW OU EQUIVALENTE TECNICO</v>
      </c>
      <c r="E528" s="91" t="str">
        <f>IFERROR(VLOOKUP($A528,[4]P.O.!$A:$J,5,),"")</f>
        <v>UND</v>
      </c>
      <c r="F528" s="139">
        <f>IFERROR(VLOOKUP($A528,[4]P.O.!$A:$J,6,),"")</f>
        <v>1</v>
      </c>
      <c r="G528" s="140">
        <f>IFERROR(VLOOKUP($A528,[4]P.O.!$A:$J,7,),"")</f>
        <v>33.25</v>
      </c>
      <c r="H528" s="140">
        <f>IFERROR(VLOOKUP($A528,[4]P.O.!$A:$J,8,),"")</f>
        <v>41.56</v>
      </c>
      <c r="I528" s="140">
        <f>IFERROR(VLOOKUP($A528,[4]P.O.!$A:$J,9,),"")</f>
        <v>41.56</v>
      </c>
      <c r="J528" s="159">
        <f t="shared" si="58"/>
        <v>1.9556114963755689E-5</v>
      </c>
      <c r="K528" s="145">
        <f>IFERROR(VLOOKUP($A528,[4]P.O.!$A:$J,10,),"")</f>
        <v>0.25</v>
      </c>
      <c r="L528" s="265"/>
    </row>
    <row r="529" spans="1:12" s="232" customFormat="1" ht="33">
      <c r="A529" s="76" t="s">
        <v>489</v>
      </c>
      <c r="B529" s="77" t="str">
        <f>IFERROR(VLOOKUP($A529,[4]P.O.!$A:$J,2,),"")</f>
        <v>COMPS9028</v>
      </c>
      <c r="C529" s="77" t="str">
        <f>IFERROR(VLOOKUP($A529,[4]P.O.!$A:$J,3,),"")</f>
        <v>COMPOSIÇÃO</v>
      </c>
      <c r="D529" s="78" t="str">
        <f>IFERROR(VLOOKUP($A529,[4]P.O.!$A:$J,4,),"")</f>
        <v>FORNECIMENTO E INSTALAÇÃO DE LÂMPADA FLUORESCENTE COMPACTA DUPLA 26W, MOD. DULUX D 26W/840, FAB. OSRAW OU EQUIVALENTE TECNICO</v>
      </c>
      <c r="E529" s="91" t="str">
        <f>IFERROR(VLOOKUP($A529,[4]P.O.!$A:$J,5,),"")</f>
        <v>UND</v>
      </c>
      <c r="F529" s="139">
        <f>IFERROR(VLOOKUP($A529,[4]P.O.!$A:$J,6,),"")</f>
        <v>102</v>
      </c>
      <c r="G529" s="140">
        <f>IFERROR(VLOOKUP($A529,[4]P.O.!$A:$J,7,),"")</f>
        <v>10.67</v>
      </c>
      <c r="H529" s="140">
        <f>IFERROR(VLOOKUP($A529,[4]P.O.!$A:$J,8,),"")</f>
        <v>13.34</v>
      </c>
      <c r="I529" s="140">
        <f>IFERROR(VLOOKUP($A529,[4]P.O.!$A:$J,9,),"")</f>
        <v>1360.68</v>
      </c>
      <c r="J529" s="159">
        <f t="shared" si="58"/>
        <v>6.4026983900103678E-4</v>
      </c>
      <c r="K529" s="145">
        <f>IFERROR(VLOOKUP($A529,[4]P.O.!$A:$J,10,),"")</f>
        <v>0.25</v>
      </c>
      <c r="L529" s="265"/>
    </row>
    <row r="530" spans="1:12" s="232" customFormat="1" ht="33">
      <c r="A530" s="76" t="s">
        <v>490</v>
      </c>
      <c r="B530" s="77" t="str">
        <f>IFERROR(VLOOKUP($A530,[4]P.O.!$A:$J,2,),"")</f>
        <v>COMPS9029</v>
      </c>
      <c r="C530" s="77" t="str">
        <f>IFERROR(VLOOKUP($A530,[4]P.O.!$A:$J,3,),"")</f>
        <v>COMPOSIÇÃO</v>
      </c>
      <c r="D530" s="78" t="str">
        <f>IFERROR(VLOOKUP($A530,[4]P.O.!$A:$J,4,),"")</f>
        <v>FORNECIMENTO E INSTALAÇÃO DE REATOR ELETRONICO PARA 2 LÂMPADAS FLUORESCENTE COMPACTAS DE 26W MOD. QTP-M2X26-32/220-240 FAB. OSRAM OU EQUIVALENTE TÉCNICO</v>
      </c>
      <c r="E530" s="91" t="str">
        <f>IFERROR(VLOOKUP($A530,[4]P.O.!$A:$J,5,),"")</f>
        <v>UND</v>
      </c>
      <c r="F530" s="139">
        <f>IFERROR(VLOOKUP($A530,[4]P.O.!$A:$J,6,),"")</f>
        <v>51</v>
      </c>
      <c r="G530" s="140">
        <f>IFERROR(VLOOKUP($A530,[4]P.O.!$A:$J,7,),"")</f>
        <v>52.94</v>
      </c>
      <c r="H530" s="140">
        <f>IFERROR(VLOOKUP($A530,[4]P.O.!$A:$J,8,),"")</f>
        <v>66.180000000000007</v>
      </c>
      <c r="I530" s="140">
        <f>IFERROR(VLOOKUP($A530,[4]P.O.!$A:$J,9,),"")</f>
        <v>3375.18</v>
      </c>
      <c r="J530" s="159">
        <f t="shared" si="58"/>
        <v>1.5881955751532464E-3</v>
      </c>
      <c r="K530" s="145">
        <f>IFERROR(VLOOKUP($A530,[4]P.O.!$A:$J,10,),"")</f>
        <v>0.25</v>
      </c>
      <c r="L530" s="265"/>
    </row>
    <row r="531" spans="1:12" s="232" customFormat="1" ht="33">
      <c r="A531" s="76" t="s">
        <v>491</v>
      </c>
      <c r="B531" s="77" t="str">
        <f>IFERROR(VLOOKUP($A531,[4]P.O.!$A:$J,2,),"")</f>
        <v>COMPS9030</v>
      </c>
      <c r="C531" s="77" t="str">
        <f>IFERROR(VLOOKUP($A531,[4]P.O.!$A:$J,3,),"")</f>
        <v>COMPOSIÇÃO</v>
      </c>
      <c r="D531" s="78" t="str">
        <f>IFERROR(VLOOKUP($A531,[4]P.O.!$A:$J,4,),"")</f>
        <v>FORNECIMENTO E INSTALAÇÃO DE LÂMPADA FLUORESCENTE TUBULAR T5 14W, COMP. 549MM, MOD. LUMILUX T5 HE 14W/840, FAB. OSRAW OU EQUIVALENTE TECNICO</v>
      </c>
      <c r="E531" s="91" t="str">
        <f>IFERROR(VLOOKUP($A531,[4]P.O.!$A:$J,5,),"")</f>
        <v>UND</v>
      </c>
      <c r="F531" s="139">
        <f>IFERROR(VLOOKUP($A531,[4]P.O.!$A:$J,6,),"")</f>
        <v>6</v>
      </c>
      <c r="G531" s="140">
        <f>IFERROR(VLOOKUP($A531,[4]P.O.!$A:$J,7,),"")</f>
        <v>8.07</v>
      </c>
      <c r="H531" s="140">
        <f>IFERROR(VLOOKUP($A531,[4]P.O.!$A:$J,8,),"")</f>
        <v>10.09</v>
      </c>
      <c r="I531" s="140">
        <f>IFERROR(VLOOKUP($A531,[4]P.O.!$A:$J,9,),"")</f>
        <v>60.54</v>
      </c>
      <c r="J531" s="159">
        <f t="shared" si="58"/>
        <v>2.848717997848338E-5</v>
      </c>
      <c r="K531" s="145">
        <f>IFERROR(VLOOKUP($A531,[4]P.O.!$A:$J,10,),"")</f>
        <v>0.25</v>
      </c>
      <c r="L531" s="265"/>
    </row>
    <row r="532" spans="1:12" s="232" customFormat="1" ht="33">
      <c r="A532" s="76" t="s">
        <v>492</v>
      </c>
      <c r="B532" s="77" t="str">
        <f>IFERROR(VLOOKUP($A532,[4]P.O.!$A:$J,2,),"")</f>
        <v>COMPS9031</v>
      </c>
      <c r="C532" s="77" t="str">
        <f>IFERROR(VLOOKUP($A532,[4]P.O.!$A:$J,3,),"")</f>
        <v>COMPOSIÇÃO</v>
      </c>
      <c r="D532" s="78" t="str">
        <f>IFERROR(VLOOKUP($A532,[4]P.O.!$A:$J,4,),"")</f>
        <v>FORNECIMENTO E INSTALAÇÃO DE LAMPADA FLUORESCENTE TUBULAR T5 28W, COMP. 1149MM, MOD. LUMILUX T5 HE 28W/840, FAB. OSRAW OU EQUIVALENTE TECNICO</v>
      </c>
      <c r="E532" s="91" t="str">
        <f>IFERROR(VLOOKUP($A532,[4]P.O.!$A:$J,5,),"")</f>
        <v>UND</v>
      </c>
      <c r="F532" s="139">
        <f>IFERROR(VLOOKUP($A532,[4]P.O.!$A:$J,6,),"")</f>
        <v>12</v>
      </c>
      <c r="G532" s="140">
        <f>IFERROR(VLOOKUP($A532,[4]P.O.!$A:$J,7,),"")</f>
        <v>8.6</v>
      </c>
      <c r="H532" s="140">
        <f>IFERROR(VLOOKUP($A532,[4]P.O.!$A:$J,8,),"")</f>
        <v>10.75</v>
      </c>
      <c r="I532" s="140">
        <f>IFERROR(VLOOKUP($A532,[4]P.O.!$A:$J,9,),"")</f>
        <v>129</v>
      </c>
      <c r="J532" s="159">
        <f t="shared" si="58"/>
        <v>6.0701126812427421E-5</v>
      </c>
      <c r="K532" s="145">
        <f>IFERROR(VLOOKUP($A532,[4]P.O.!$A:$J,10,),"")</f>
        <v>0.25</v>
      </c>
      <c r="L532" s="265"/>
    </row>
    <row r="533" spans="1:12" s="249" customFormat="1" ht="49.5">
      <c r="A533" s="79" t="s">
        <v>493</v>
      </c>
      <c r="B533" s="80" t="str">
        <f>IFERROR(VLOOKUP($A533,[4]P.O.!$A:$J,2,),"")</f>
        <v>COMPS9032</v>
      </c>
      <c r="C533" s="80" t="str">
        <f>IFERROR(VLOOKUP($A533,[4]P.O.!$A:$J,3,),"")</f>
        <v>COMPOSIÇÃO</v>
      </c>
      <c r="D533" s="81" t="str">
        <f>IFERROR(VLOOKUP($A533,[4]P.O.!$A:$J,4,),"")</f>
        <v>FORNECIMENTO E INSTALAÇÃO DE REATOR ELETRONICO PARA 2 LAMPADA TUBULAR 14W OU 28W MODELO QUICKTRONIC PROFESSIONAL QTP5 2X14-35/220-240, FAB. OSRAW OU EQUIVALENTE TECNICO</v>
      </c>
      <c r="E533" s="142" t="str">
        <f>IFERROR(VLOOKUP($A533,[4]P.O.!$A:$J,5,),"")</f>
        <v>UND</v>
      </c>
      <c r="F533" s="143">
        <f>IFERROR(VLOOKUP($A533,[4]P.O.!$A:$J,6,),"")</f>
        <v>9</v>
      </c>
      <c r="G533" s="144">
        <f>IFERROR(VLOOKUP($A533,[4]P.O.!$A:$J,7,),"")</f>
        <v>57.66</v>
      </c>
      <c r="H533" s="140">
        <f>IFERROR(VLOOKUP($A533,[4]P.O.!$A:$J,8,),"")</f>
        <v>72.08</v>
      </c>
      <c r="I533" s="140">
        <f>IFERROR(VLOOKUP($A533,[4]P.O.!$A:$J,9,),"")</f>
        <v>648.72</v>
      </c>
      <c r="J533" s="159">
        <f t="shared" si="58"/>
        <v>3.0525608516091408E-4</v>
      </c>
      <c r="K533" s="145">
        <f>IFERROR(VLOOKUP($A533,[4]P.O.!$A:$J,10,),"")</f>
        <v>0.25</v>
      </c>
      <c r="L533" s="265"/>
    </row>
    <row r="534" spans="1:12" s="249" customFormat="1" ht="33">
      <c r="A534" s="79" t="s">
        <v>494</v>
      </c>
      <c r="B534" s="80" t="str">
        <f>IFERROR(VLOOKUP($A534,[4]P.O.!$A:$J,2,),"")</f>
        <v>COMPS9033</v>
      </c>
      <c r="C534" s="80" t="str">
        <f>IFERROR(VLOOKUP($A534,[4]P.O.!$A:$J,3,),"")</f>
        <v>COMPOSIÇÃO</v>
      </c>
      <c r="D534" s="81" t="str">
        <f>IFERROR(VLOOKUP($A534,[4]P.O.!$A:$J,4,),"")</f>
        <v>FORNECIMENTO E INSTALAÇÃO DE LÂMPADA DE VAPOR METÁLICO TUBULAR DE 250W, SOQUETE E-40 MOD. POWERSTAT HQI T 250W/D PRO FAB. OSRAM OU EQUIVALENTE TÉCNICO</v>
      </c>
      <c r="E534" s="142" t="str">
        <f>IFERROR(VLOOKUP($A534,[4]P.O.!$A:$J,5,),"")</f>
        <v>UND</v>
      </c>
      <c r="F534" s="143">
        <f>IFERROR(VLOOKUP($A534,[4]P.O.!$A:$J,6,),"")</f>
        <v>9</v>
      </c>
      <c r="G534" s="144">
        <f>IFERROR(VLOOKUP($A534,[4]P.O.!$A:$J,7,),"")</f>
        <v>67.03</v>
      </c>
      <c r="H534" s="140">
        <f>IFERROR(VLOOKUP($A534,[4]P.O.!$A:$J,8,),"")</f>
        <v>83.79</v>
      </c>
      <c r="I534" s="140">
        <f>IFERROR(VLOOKUP($A534,[4]P.O.!$A:$J,9,),"")</f>
        <v>754.11</v>
      </c>
      <c r="J534" s="159">
        <f t="shared" si="58"/>
        <v>3.5484749411255538E-4</v>
      </c>
      <c r="K534" s="145">
        <f>IFERROR(VLOOKUP($A534,[4]P.O.!$A:$J,10,),"")</f>
        <v>0.25</v>
      </c>
      <c r="L534" s="265"/>
    </row>
    <row r="535" spans="1:12" s="249" customFormat="1" ht="33">
      <c r="A535" s="79" t="s">
        <v>495</v>
      </c>
      <c r="B535" s="80" t="str">
        <f>IFERROR(VLOOKUP($A535,[4]P.O.!$A:$J,2,),"")</f>
        <v>COMPS9034</v>
      </c>
      <c r="C535" s="80" t="str">
        <f>IFERROR(VLOOKUP($A535,[4]P.O.!$A:$J,3,),"")</f>
        <v>COMPOSIÇÃO</v>
      </c>
      <c r="D535" s="81" t="str">
        <f>IFERROR(VLOOKUP($A535,[4]P.O.!$A:$J,4,),"")</f>
        <v>FORNECIMENTO E INSTALAÇÃO DE REATOR ELETRONICO PARA LAMPADA DE VAPOR METALICO 250W, ALOJAMENTO ABRIGADO</v>
      </c>
      <c r="E535" s="142" t="str">
        <f>IFERROR(VLOOKUP($A535,[4]P.O.!$A:$J,5,),"")</f>
        <v>UND</v>
      </c>
      <c r="F535" s="143">
        <f>IFERROR(VLOOKUP($A535,[4]P.O.!$A:$J,6,),"")</f>
        <v>9</v>
      </c>
      <c r="G535" s="144">
        <f>IFERROR(VLOOKUP($A535,[4]P.O.!$A:$J,7,),"")</f>
        <v>114.16</v>
      </c>
      <c r="H535" s="140">
        <f>IFERROR(VLOOKUP($A535,[4]P.O.!$A:$J,8,),"")</f>
        <v>142.69999999999999</v>
      </c>
      <c r="I535" s="140">
        <f>IFERROR(VLOOKUP($A535,[4]P.O.!$A:$J,9,),"")</f>
        <v>1284.3</v>
      </c>
      <c r="J535" s="159">
        <f t="shared" si="58"/>
        <v>6.0432912531163208E-4</v>
      </c>
      <c r="K535" s="145">
        <f>IFERROR(VLOOKUP($A535,[4]P.O.!$A:$J,10,),"")</f>
        <v>0.25</v>
      </c>
      <c r="L535" s="265"/>
    </row>
    <row r="536" spans="1:12" s="249" customFormat="1" ht="33">
      <c r="A536" s="79" t="s">
        <v>496</v>
      </c>
      <c r="B536" s="80" t="str">
        <f>IFERROR(VLOOKUP($A536,[4]P.O.!$A:$J,2,),"")</f>
        <v>COMPS9035</v>
      </c>
      <c r="C536" s="80" t="str">
        <f>IFERROR(VLOOKUP($A536,[4]P.O.!$A:$J,3,),"")</f>
        <v>COMPOSIÇÃO</v>
      </c>
      <c r="D536" s="81" t="str">
        <f>IFERROR(VLOOKUP($A536,[4]P.O.!$A:$J,4,),"")</f>
        <v>FORNECIMENTO E INSTALAÇÃO DE LAMPADA FLUORESCENTE COMPACTA ELETRONICA 23W, MOD. DULUXSTAR 23W/865, SOQUETE E-27, FAB. OSRAW OU EQUIVALENTE TECNICO</v>
      </c>
      <c r="E536" s="142" t="str">
        <f>IFERROR(VLOOKUP($A536,[4]P.O.!$A:$J,5,),"")</f>
        <v>UND</v>
      </c>
      <c r="F536" s="143">
        <f>IFERROR(VLOOKUP($A536,[4]P.O.!$A:$J,6,),"")</f>
        <v>2</v>
      </c>
      <c r="G536" s="144">
        <f>IFERROR(VLOOKUP($A536,[4]P.O.!$A:$J,7,),"")</f>
        <v>11.74</v>
      </c>
      <c r="H536" s="140">
        <f>IFERROR(VLOOKUP($A536,[4]P.O.!$A:$J,8,),"")</f>
        <v>14.68</v>
      </c>
      <c r="I536" s="140">
        <f>IFERROR(VLOOKUP($A536,[4]P.O.!$A:$J,9,),"")</f>
        <v>29.36</v>
      </c>
      <c r="J536" s="159">
        <f t="shared" si="58"/>
        <v>1.3815388241960225E-5</v>
      </c>
      <c r="K536" s="145">
        <f>IFERROR(VLOOKUP($A536,[4]P.O.!$A:$J,10,),"")</f>
        <v>0.25</v>
      </c>
      <c r="L536" s="265"/>
    </row>
    <row r="537" spans="1:12" s="249" customFormat="1" ht="33">
      <c r="A537" s="79" t="s">
        <v>497</v>
      </c>
      <c r="B537" s="80" t="str">
        <f>IFERROR(VLOOKUP($A537,[4]P.O.!$A:$J,2,),"")</f>
        <v>COMPS9036</v>
      </c>
      <c r="C537" s="80" t="str">
        <f>IFERROR(VLOOKUP($A537,[4]P.O.!$A:$J,3,),"")</f>
        <v>COMPOSIÇÃO</v>
      </c>
      <c r="D537" s="81" t="str">
        <f>IFERROR(VLOOKUP($A537,[4]P.O.!$A:$J,4,),"")</f>
        <v>FORNECIMENTO E INSTALAÇÃO DE LÂMPADA HALÓGENA REFLETORA PAR-16 DE 50W, SOQUETE GU10 35º MOD. HALOPAR 16 64828FL FAB. OSRAM OU EQUIVALENTE TÉCNICO</v>
      </c>
      <c r="E537" s="142" t="str">
        <f>IFERROR(VLOOKUP($A537,[4]P.O.!$A:$J,5,),"")</f>
        <v>UND</v>
      </c>
      <c r="F537" s="143">
        <f>IFERROR(VLOOKUP($A537,[4]P.O.!$A:$J,6,),"")</f>
        <v>4</v>
      </c>
      <c r="G537" s="144">
        <f>IFERROR(VLOOKUP($A537,[4]P.O.!$A:$J,7,),"")</f>
        <v>22.73</v>
      </c>
      <c r="H537" s="140">
        <f>IFERROR(VLOOKUP($A537,[4]P.O.!$A:$J,8,),"")</f>
        <v>28.41</v>
      </c>
      <c r="I537" s="140">
        <f>IFERROR(VLOOKUP($A537,[4]P.O.!$A:$J,9,),"")</f>
        <v>113.64</v>
      </c>
      <c r="J537" s="159">
        <f t="shared" si="58"/>
        <v>5.3473457759412808E-5</v>
      </c>
      <c r="K537" s="145">
        <f>IFERROR(VLOOKUP($A537,[4]P.O.!$A:$J,10,),"")</f>
        <v>0.25</v>
      </c>
      <c r="L537" s="265"/>
    </row>
    <row r="538" spans="1:12" s="249" customFormat="1" ht="33">
      <c r="A538" s="79" t="s">
        <v>498</v>
      </c>
      <c r="B538" s="80" t="str">
        <f>IFERROR(VLOOKUP($A538,[4]P.O.!$A:$J,2,),"")</f>
        <v>COMPS9037</v>
      </c>
      <c r="C538" s="80" t="str">
        <f>IFERROR(VLOOKUP($A538,[4]P.O.!$A:$J,3,),"")</f>
        <v>COMPOSIÇÃO</v>
      </c>
      <c r="D538" s="81" t="str">
        <f>IFERROR(VLOOKUP($A538,[4]P.O.!$A:$J,4,),"")</f>
        <v>FORNECIMENTO E INSTALAÇÃO DE LÂMPADA HALÓGENA REFLETORA AR 111 50W, SOQUETE G53 24º MOD. HALOSPOT 111 41835FL FAB. OSRAM OU EQUIVALENTE TÉCNICO</v>
      </c>
      <c r="E538" s="142" t="str">
        <f>IFERROR(VLOOKUP($A538,[4]P.O.!$A:$J,5,),"")</f>
        <v>UND</v>
      </c>
      <c r="F538" s="143">
        <f>IFERROR(VLOOKUP($A538,[4]P.O.!$A:$J,6,),"")</f>
        <v>34</v>
      </c>
      <c r="G538" s="144">
        <f>IFERROR(VLOOKUP($A538,[4]P.O.!$A:$J,7,),"")</f>
        <v>33.130000000000003</v>
      </c>
      <c r="H538" s="140">
        <f>IFERROR(VLOOKUP($A538,[4]P.O.!$A:$J,8,),"")</f>
        <v>41.41</v>
      </c>
      <c r="I538" s="140">
        <f>IFERROR(VLOOKUP($A538,[4]P.O.!$A:$J,9,),"")</f>
        <v>1407.94</v>
      </c>
      <c r="J538" s="159">
        <f t="shared" si="58"/>
        <v>6.6250809677743461E-4</v>
      </c>
      <c r="K538" s="145">
        <f>IFERROR(VLOOKUP($A538,[4]P.O.!$A:$J,10,),"")</f>
        <v>0.25</v>
      </c>
      <c r="L538" s="265"/>
    </row>
    <row r="539" spans="1:12" s="249" customFormat="1" ht="33">
      <c r="A539" s="79" t="s">
        <v>499</v>
      </c>
      <c r="B539" s="80" t="str">
        <f>IFERROR(VLOOKUP($A539,[4]P.O.!$A:$J,2,),"")</f>
        <v>COMPS9038</v>
      </c>
      <c r="C539" s="80" t="str">
        <f>IFERROR(VLOOKUP($A539,[4]P.O.!$A:$J,3,),"")</f>
        <v>COMPOSIÇÃO</v>
      </c>
      <c r="D539" s="81" t="str">
        <f>IFERROR(VLOOKUP($A539,[4]P.O.!$A:$J,4,),"")</f>
        <v>FORNECIMENTO E INSTALAÇÃO DE TRANSFORMADOR PARA LÂMPADA HALÓGENA AR 111 DE 50W MOD. ET-ZL 50/220-240 FAB. OSRAM OU EQUIVALENTE TÉCNICO</v>
      </c>
      <c r="E539" s="142" t="str">
        <f>IFERROR(VLOOKUP($A539,[4]P.O.!$A:$J,5,),"")</f>
        <v>UND</v>
      </c>
      <c r="F539" s="143">
        <f>IFERROR(VLOOKUP($A539,[4]P.O.!$A:$J,6,),"")</f>
        <v>34</v>
      </c>
      <c r="G539" s="144">
        <f>IFERROR(VLOOKUP($A539,[4]P.O.!$A:$J,7,),"")</f>
        <v>23.400000000000002</v>
      </c>
      <c r="H539" s="140">
        <f>IFERROR(VLOOKUP($A539,[4]P.O.!$A:$J,8,),"")</f>
        <v>29.25</v>
      </c>
      <c r="I539" s="140">
        <f>IFERROR(VLOOKUP($A539,[4]P.O.!$A:$J,9,),"")</f>
        <v>994.5</v>
      </c>
      <c r="J539" s="159">
        <f t="shared" si="58"/>
        <v>4.679633381004579E-4</v>
      </c>
      <c r="K539" s="145">
        <f>IFERROR(VLOOKUP($A539,[4]P.O.!$A:$J,10,),"")</f>
        <v>0.25</v>
      </c>
      <c r="L539" s="265"/>
    </row>
    <row r="540" spans="1:12" s="249" customFormat="1" ht="33">
      <c r="A540" s="79" t="s">
        <v>500</v>
      </c>
      <c r="B540" s="80" t="str">
        <f>IFERROR(VLOOKUP($A540,[4]P.O.!$A:$J,2,),"")</f>
        <v>COMPS9039</v>
      </c>
      <c r="C540" s="80" t="str">
        <f>IFERROR(VLOOKUP($A540,[4]P.O.!$A:$J,3,),"")</f>
        <v>COMPOSIÇÃO</v>
      </c>
      <c r="D540" s="81" t="str">
        <f>IFERROR(VLOOKUP($A540,[4]P.O.!$A:$J,4,),"")</f>
        <v>FORNECIMENTO E INSTALAÇÃO DE LÂMPADA FLUORESCENTE COMPACTA TRIPLA 18W, MOD. DULUX T 18W/840 PLUS, FAB. OSRAW OU EQUIVALENTE TECNICO</v>
      </c>
      <c r="E540" s="142" t="str">
        <f>IFERROR(VLOOKUP($A540,[4]P.O.!$A:$J,5,),"")</f>
        <v>UND</v>
      </c>
      <c r="F540" s="143">
        <f>IFERROR(VLOOKUP($A540,[4]P.O.!$A:$J,6,),"")</f>
        <v>4</v>
      </c>
      <c r="G540" s="144">
        <f>IFERROR(VLOOKUP($A540,[4]P.O.!$A:$J,7,),"")</f>
        <v>42.57</v>
      </c>
      <c r="H540" s="140">
        <f>IFERROR(VLOOKUP($A540,[4]P.O.!$A:$J,8,),"")</f>
        <v>53.21</v>
      </c>
      <c r="I540" s="140">
        <f>IFERROR(VLOOKUP($A540,[4]P.O.!$A:$J,9,),"")</f>
        <v>212.84</v>
      </c>
      <c r="J540" s="159">
        <f t="shared" si="58"/>
        <v>1.0015215372679885E-4</v>
      </c>
      <c r="K540" s="145">
        <f>IFERROR(VLOOKUP($A540,[4]P.O.!$A:$J,10,),"")</f>
        <v>0.25</v>
      </c>
      <c r="L540" s="265"/>
    </row>
    <row r="541" spans="1:12" s="249" customFormat="1" ht="33">
      <c r="A541" s="79" t="s">
        <v>501</v>
      </c>
      <c r="B541" s="80" t="str">
        <f>IFERROR(VLOOKUP($A541,[4]P.O.!$A:$J,2,),"")</f>
        <v>COMPS9040</v>
      </c>
      <c r="C541" s="80" t="str">
        <f>IFERROR(VLOOKUP($A541,[4]P.O.!$A:$J,3,),"")</f>
        <v>COMPOSIÇÃO</v>
      </c>
      <c r="D541" s="81" t="str">
        <f>IFERROR(VLOOKUP($A541,[4]P.O.!$A:$J,4,),"")</f>
        <v>FORNECIMENTO E INSTALAÇÃO DE REATOR ELETRONICO PARA 1 LÂMPADA FLUORESCENTE COMPACTA DE 18W MOD. EZ-T/E1X18/220-240 FAB. OSRAM OU EQUIVALENTE TÉCNICO</v>
      </c>
      <c r="E541" s="142" t="str">
        <f>IFERROR(VLOOKUP($A541,[4]P.O.!$A:$J,5,),"")</f>
        <v>UND</v>
      </c>
      <c r="F541" s="143">
        <f>IFERROR(VLOOKUP($A541,[4]P.O.!$A:$J,6,),"")</f>
        <v>4</v>
      </c>
      <c r="G541" s="144">
        <f>IFERROR(VLOOKUP($A541,[4]P.O.!$A:$J,7,),"")</f>
        <v>22.200000000000003</v>
      </c>
      <c r="H541" s="140">
        <f>IFERROR(VLOOKUP($A541,[4]P.O.!$A:$J,8,),"")</f>
        <v>27.75</v>
      </c>
      <c r="I541" s="140">
        <f>IFERROR(VLOOKUP($A541,[4]P.O.!$A:$J,9,),"")</f>
        <v>111</v>
      </c>
      <c r="J541" s="159">
        <f t="shared" si="58"/>
        <v>5.2231202140925921E-5</v>
      </c>
      <c r="K541" s="145">
        <f>IFERROR(VLOOKUP($A541,[4]P.O.!$A:$J,10,),"")</f>
        <v>0.25</v>
      </c>
      <c r="L541" s="265"/>
    </row>
    <row r="542" spans="1:12" s="249" customFormat="1" ht="33">
      <c r="A542" s="79" t="s">
        <v>502</v>
      </c>
      <c r="B542" s="80" t="str">
        <f>IFERROR(VLOOKUP($A542,[4]P.O.!$A:$J,2,),"")</f>
        <v>COMPS9041</v>
      </c>
      <c r="C542" s="80" t="str">
        <f>IFERROR(VLOOKUP($A542,[4]P.O.!$A:$J,3,),"")</f>
        <v>COMPOSIÇÃO</v>
      </c>
      <c r="D542" s="81" t="str">
        <f>IFERROR(VLOOKUP($A542,[4]P.O.!$A:$J,4,),"")</f>
        <v>FORNECIMENTO E INSTALAÇÃO DE LÂMPADA DE DESCARGA DE ALTA INTENSIDADE MASTER COLOUR MOD. CDM-TD70W/830 FAB. PHILIPS OU EQUIVALENTE TÉCNICO</v>
      </c>
      <c r="E542" s="142" t="str">
        <f>IFERROR(VLOOKUP($A542,[4]P.O.!$A:$J,5,),"")</f>
        <v>UND</v>
      </c>
      <c r="F542" s="143">
        <f>IFERROR(VLOOKUP($A542,[4]P.O.!$A:$J,6,),"")</f>
        <v>4</v>
      </c>
      <c r="G542" s="144">
        <f>IFERROR(VLOOKUP($A542,[4]P.O.!$A:$J,7,),"")</f>
        <v>150.97999999999999</v>
      </c>
      <c r="H542" s="140">
        <f>IFERROR(VLOOKUP($A542,[4]P.O.!$A:$J,8,),"")</f>
        <v>188.73</v>
      </c>
      <c r="I542" s="140">
        <f>IFERROR(VLOOKUP($A542,[4]P.O.!$A:$J,9,),"")</f>
        <v>754.92</v>
      </c>
      <c r="J542" s="159">
        <f t="shared" si="58"/>
        <v>3.5522864072277293E-4</v>
      </c>
      <c r="K542" s="145">
        <f>IFERROR(VLOOKUP($A542,[4]P.O.!$A:$J,10,),"")</f>
        <v>0.25</v>
      </c>
      <c r="L542" s="265"/>
    </row>
    <row r="543" spans="1:12" s="249" customFormat="1" ht="33">
      <c r="A543" s="79" t="s">
        <v>503</v>
      </c>
      <c r="B543" s="80" t="str">
        <f>IFERROR(VLOOKUP($A543,[4]P.O.!$A:$J,2,),"")</f>
        <v>COMPS9042</v>
      </c>
      <c r="C543" s="80" t="str">
        <f>IFERROR(VLOOKUP($A543,[4]P.O.!$A:$J,3,),"")</f>
        <v>COMPOSIÇÃO</v>
      </c>
      <c r="D543" s="81" t="str">
        <f>IFERROR(VLOOKUP($A543,[4]P.O.!$A:$J,4,),"")</f>
        <v>FORNECIMENTO E INSTALAÇÃO DE REATOR ELETROMAGNÉTICO PARA LAMPADA DE ALTA INTENSIDADE  MOD. VTE70A26 E FAB. PHILIPS OU EQUIVALENTE TÉCNICO</v>
      </c>
      <c r="E543" s="142" t="str">
        <f>IFERROR(VLOOKUP($A543,[4]P.O.!$A:$J,5,),"")</f>
        <v>UND</v>
      </c>
      <c r="F543" s="143">
        <f>IFERROR(VLOOKUP($A543,[4]P.O.!$A:$J,6,),"")</f>
        <v>4</v>
      </c>
      <c r="G543" s="144">
        <f>IFERROR(VLOOKUP($A543,[4]P.O.!$A:$J,7,),"")</f>
        <v>99.039999999999992</v>
      </c>
      <c r="H543" s="140">
        <f>IFERROR(VLOOKUP($A543,[4]P.O.!$A:$J,8,),"")</f>
        <v>123.8</v>
      </c>
      <c r="I543" s="140">
        <f>IFERROR(VLOOKUP($A543,[4]P.O.!$A:$J,9,),"")</f>
        <v>495.2</v>
      </c>
      <c r="J543" s="159">
        <f t="shared" si="58"/>
        <v>2.3301703874041904E-4</v>
      </c>
      <c r="K543" s="145">
        <f>IFERROR(VLOOKUP($A543,[4]P.O.!$A:$J,10,),"")</f>
        <v>0.25</v>
      </c>
      <c r="L543" s="265"/>
    </row>
    <row r="544" spans="1:12" s="249" customFormat="1">
      <c r="A544" s="79"/>
      <c r="B544" s="80"/>
      <c r="C544" s="80"/>
      <c r="D544" s="81"/>
      <c r="E544" s="142"/>
      <c r="F544" s="143"/>
      <c r="G544" s="144"/>
      <c r="H544" s="144"/>
      <c r="I544" s="140"/>
      <c r="J544" s="233"/>
      <c r="K544" s="145"/>
    </row>
    <row r="545" spans="1:12" s="234" customFormat="1">
      <c r="A545" s="82" t="s">
        <v>504</v>
      </c>
      <c r="B545" s="83"/>
      <c r="C545" s="83"/>
      <c r="D545" s="84" t="str">
        <f>IFERROR(VLOOKUP($A545,[4]P.O.!$A:$J,4,),"")</f>
        <v>DIVERSOS</v>
      </c>
      <c r="E545" s="146"/>
      <c r="F545" s="147"/>
      <c r="G545" s="148"/>
      <c r="H545" s="148"/>
      <c r="I545" s="180"/>
      <c r="J545" s="238"/>
      <c r="K545" s="149"/>
    </row>
    <row r="546" spans="1:12" s="249" customFormat="1">
      <c r="A546" s="79" t="s">
        <v>505</v>
      </c>
      <c r="B546" s="80" t="str">
        <f>IFERROR(VLOOKUP($A546,[4]P.O.!$A:$J,2,),"")</f>
        <v>COMPS9043</v>
      </c>
      <c r="C546" s="80" t="str">
        <f>IFERROR(VLOOKUP($A546,[4]P.O.!$A:$J,3,),"")</f>
        <v>COMPOSIÇÃO</v>
      </c>
      <c r="D546" s="81" t="str">
        <f>IFERROR(VLOOKUP($A546,[4]P.O.!$A:$J,4,),"")</f>
        <v>EXECUÇÃO DE BASE EM CONCRETO, DIMENSÕES 400X400X500MM, PARA POSTE FLANGEADO</v>
      </c>
      <c r="E546" s="142" t="str">
        <f>IFERROR(VLOOKUP($A546,[4]P.O.!$A:$J,5,),"")</f>
        <v>UND</v>
      </c>
      <c r="F546" s="143">
        <f>IFERROR(VLOOKUP($A546,[4]P.O.!$A:$J,6,),"")</f>
        <v>8</v>
      </c>
      <c r="G546" s="144">
        <f>IFERROR(VLOOKUP($A546,[4]P.O.!$A:$J,7,),"")</f>
        <v>38</v>
      </c>
      <c r="H546" s="140">
        <f>IFERROR(VLOOKUP($A546,[4]P.O.!$A:$J,8,),"")</f>
        <v>47.5</v>
      </c>
      <c r="I546" s="140">
        <f>IFERROR(VLOOKUP($A546,[4]P.O.!$A:$J,9,),"")</f>
        <v>380</v>
      </c>
      <c r="J546" s="159">
        <f t="shared" ref="J546:J547" si="59">IF(I546="","",I546/$E$777)</f>
        <v>1.7880952084280946E-4</v>
      </c>
      <c r="K546" s="145">
        <f>IFERROR(VLOOKUP($A546,[4]P.O.!$A:$J,10,),"")</f>
        <v>0.25</v>
      </c>
      <c r="L546" s="265"/>
    </row>
    <row r="547" spans="1:12" s="249" customFormat="1" ht="33">
      <c r="A547" s="79" t="s">
        <v>506</v>
      </c>
      <c r="B547" s="80" t="str">
        <f>IFERROR(VLOOKUP($A547,[4]P.O.!$A:$J,2,),"")</f>
        <v>COMPS9044</v>
      </c>
      <c r="C547" s="80" t="str">
        <f>IFERROR(VLOOKUP($A547,[4]P.O.!$A:$J,3,),"")</f>
        <v>COMPOSIÇÃO</v>
      </c>
      <c r="D547" s="81" t="str">
        <f>IFERROR(VLOOKUP($A547,[4]P.O.!$A:$J,4,),"")</f>
        <v>EXECUÇÃO DE BASE EM TUBO DE CONCRETO 200MM H=25CM, INCLUSIVE FUNDO DE BRITA, PARA INSTALAÇÃO DE LUMINARIA EMBUTIDA EM SOLO</v>
      </c>
      <c r="E547" s="142" t="str">
        <f>IFERROR(VLOOKUP($A547,[4]P.O.!$A:$J,5,),"")</f>
        <v>UND</v>
      </c>
      <c r="F547" s="143">
        <f>IFERROR(VLOOKUP($A547,[4]P.O.!$A:$J,6,),"")</f>
        <v>12</v>
      </c>
      <c r="G547" s="144">
        <f>IFERROR(VLOOKUP($A547,[4]P.O.!$A:$J,7,),"")</f>
        <v>13.33</v>
      </c>
      <c r="H547" s="140">
        <f>IFERROR(VLOOKUP($A547,[4]P.O.!$A:$J,8,),"")</f>
        <v>16.66</v>
      </c>
      <c r="I547" s="140">
        <f>IFERROR(VLOOKUP($A547,[4]P.O.!$A:$J,9,),"")</f>
        <v>199.92</v>
      </c>
      <c r="J547" s="159">
        <f t="shared" si="59"/>
        <v>9.407263001814333E-5</v>
      </c>
      <c r="K547" s="145">
        <f>IFERROR(VLOOKUP($A547,[4]P.O.!$A:$J,10,),"")</f>
        <v>0.25</v>
      </c>
      <c r="L547" s="265"/>
    </row>
    <row r="548" spans="1:12" s="249" customFormat="1">
      <c r="A548" s="79"/>
      <c r="B548" s="80"/>
      <c r="C548" s="80"/>
      <c r="D548" s="81"/>
      <c r="E548" s="142"/>
      <c r="F548" s="143"/>
      <c r="G548" s="144"/>
      <c r="H548" s="144"/>
      <c r="I548" s="140"/>
      <c r="J548" s="233"/>
      <c r="K548" s="145"/>
    </row>
    <row r="549" spans="1:12" s="231" customFormat="1">
      <c r="A549" s="6" t="s">
        <v>130</v>
      </c>
      <c r="B549" s="25"/>
      <c r="C549" s="25"/>
      <c r="D549" s="32" t="str">
        <f>IFERROR(VLOOKUP($A549,[4]P.O.!$A:$J,4,),"")</f>
        <v>SPDA</v>
      </c>
      <c r="E549" s="135"/>
      <c r="F549" s="136"/>
      <c r="G549" s="137"/>
      <c r="H549" s="137"/>
      <c r="I549" s="137">
        <f>SUM(I550:I580)</f>
        <v>13000.369999999999</v>
      </c>
      <c r="J549" s="230">
        <f>IF(I549="","",I549/$E$777)</f>
        <v>6.1173419223137749E-3</v>
      </c>
      <c r="K549" s="138"/>
    </row>
    <row r="550" spans="1:12" s="232" customFormat="1">
      <c r="A550" s="76"/>
      <c r="B550" s="77"/>
      <c r="C550" s="77"/>
      <c r="D550" s="78"/>
      <c r="E550" s="91"/>
      <c r="F550" s="139"/>
      <c r="G550" s="140"/>
      <c r="H550" s="140"/>
      <c r="I550" s="140"/>
      <c r="J550" s="159"/>
      <c r="K550" s="141"/>
    </row>
    <row r="551" spans="1:12" s="249" customFormat="1">
      <c r="A551" s="79" t="s">
        <v>131</v>
      </c>
      <c r="B551" s="80">
        <f>IFERROR(VLOOKUP($A551,[4]P.O.!$A:$J,2,),"")</f>
        <v>72253</v>
      </c>
      <c r="C551" s="80" t="str">
        <f>IFERROR(VLOOKUP($A551,[4]P.O.!$A:$J,3,),"")</f>
        <v>SINAPI SERVIÇO</v>
      </c>
      <c r="D551" s="81" t="str">
        <f>IFERROR(VLOOKUP($A551,[4]P.O.!$A:$J,4,),"")</f>
        <v>CABO DE COBRE NU 35MM2 - FORNECIMENTO E INSTALACAO</v>
      </c>
      <c r="E551" s="142" t="str">
        <f>IFERROR(VLOOKUP($A551,[4]P.O.!$A:$J,5,),"")</f>
        <v>M</v>
      </c>
      <c r="F551" s="143">
        <f>IFERROR(VLOOKUP($A551,[4]P.O.!$A:$J,6,),"")</f>
        <v>65</v>
      </c>
      <c r="G551" s="144">
        <f>IFERROR(VLOOKUP($A551,[4]P.O.!$A:$J,7,),"")</f>
        <v>22.01</v>
      </c>
      <c r="H551" s="140">
        <f>IFERROR(VLOOKUP($A551,[4]P.O.!$A:$J,8,),"")</f>
        <v>27.51</v>
      </c>
      <c r="I551" s="140">
        <f>IFERROR(VLOOKUP($A551,[4]P.O.!$A:$J,9,),"")</f>
        <v>1788.15</v>
      </c>
      <c r="J551" s="159">
        <f t="shared" ref="J551:J578" si="60">IF(I551="","",I551/$E$777)</f>
        <v>8.414164334080783E-4</v>
      </c>
      <c r="K551" s="145">
        <f>IFERROR(VLOOKUP($A551,[4]P.O.!$A:$J,10,),"")</f>
        <v>0.25</v>
      </c>
      <c r="L551" s="265"/>
    </row>
    <row r="552" spans="1:12" s="249" customFormat="1">
      <c r="A552" s="79" t="s">
        <v>132</v>
      </c>
      <c r="B552" s="80">
        <f>IFERROR(VLOOKUP($A552,[4]P.O.!$A:$J,2,),"")</f>
        <v>72251</v>
      </c>
      <c r="C552" s="80" t="str">
        <f>IFERROR(VLOOKUP($A552,[4]P.O.!$A:$J,3,),"")</f>
        <v>SINAPI SERVIÇO</v>
      </c>
      <c r="D552" s="81" t="str">
        <f>IFERROR(VLOOKUP($A552,[4]P.O.!$A:$J,4,),"")</f>
        <v>CABO DE COBRE NU 16MM2 - FORNECIMENTO E INSTALACAO</v>
      </c>
      <c r="E552" s="142" t="str">
        <f>IFERROR(VLOOKUP($A552,[4]P.O.!$A:$J,5,),"")</f>
        <v>M</v>
      </c>
      <c r="F552" s="143">
        <f>IFERROR(VLOOKUP($A552,[4]P.O.!$A:$J,6,),"")</f>
        <v>30</v>
      </c>
      <c r="G552" s="144">
        <f>IFERROR(VLOOKUP($A552,[4]P.O.!$A:$J,7,),"")</f>
        <v>11.17</v>
      </c>
      <c r="H552" s="140">
        <f>IFERROR(VLOOKUP($A552,[4]P.O.!$A:$J,8,),"")</f>
        <v>13.96</v>
      </c>
      <c r="I552" s="140">
        <f>IFERROR(VLOOKUP($A552,[4]P.O.!$A:$J,9,),"")</f>
        <v>418.8</v>
      </c>
      <c r="J552" s="159">
        <f t="shared" si="60"/>
        <v>1.9706691402360157E-4</v>
      </c>
      <c r="K552" s="145">
        <f>IFERROR(VLOOKUP($A552,[4]P.O.!$A:$J,10,),"")</f>
        <v>0.25</v>
      </c>
      <c r="L552" s="265"/>
    </row>
    <row r="553" spans="1:12" s="249" customFormat="1">
      <c r="A553" s="79" t="s">
        <v>507</v>
      </c>
      <c r="B553" s="80">
        <f>IFERROR(VLOOKUP($A553,[4]P.O.!$A:$J,2,),"")</f>
        <v>72254</v>
      </c>
      <c r="C553" s="80" t="str">
        <f>IFERROR(VLOOKUP($A553,[4]P.O.!$A:$J,3,),"")</f>
        <v>SINAPI SERVIÇO</v>
      </c>
      <c r="D553" s="81" t="str">
        <f>IFERROR(VLOOKUP($A553,[4]P.O.!$A:$J,4,),"")</f>
        <v>CABO DE COBRE NU 50MM2 - FORNECIMENTO E INSTALACAO</v>
      </c>
      <c r="E553" s="142" t="str">
        <f>IFERROR(VLOOKUP($A553,[4]P.O.!$A:$J,5,),"")</f>
        <v>M</v>
      </c>
      <c r="F553" s="143">
        <f>IFERROR(VLOOKUP($A553,[4]P.O.!$A:$J,6,),"")</f>
        <v>100</v>
      </c>
      <c r="G553" s="144">
        <f>IFERROR(VLOOKUP($A553,[4]P.O.!$A:$J,7,),"")</f>
        <v>31.13</v>
      </c>
      <c r="H553" s="140">
        <f>IFERROR(VLOOKUP($A553,[4]P.O.!$A:$J,8,),"")</f>
        <v>38.909999999999997</v>
      </c>
      <c r="I553" s="140">
        <f>IFERROR(VLOOKUP($A553,[4]P.O.!$A:$J,9,),"")</f>
        <v>3891</v>
      </c>
      <c r="J553" s="159">
        <f t="shared" si="60"/>
        <v>1.8309153831562411E-3</v>
      </c>
      <c r="K553" s="145">
        <f>IFERROR(VLOOKUP($A553,[4]P.O.!$A:$J,10,),"")</f>
        <v>0.25</v>
      </c>
      <c r="L553" s="265"/>
    </row>
    <row r="554" spans="1:12" s="249" customFormat="1">
      <c r="A554" s="79" t="s">
        <v>508</v>
      </c>
      <c r="B554" s="80">
        <f>IFERROR(VLOOKUP($A554,[4]P.O.!$A:$J,2,),"")</f>
        <v>83484</v>
      </c>
      <c r="C554" s="80" t="str">
        <f>IFERROR(VLOOKUP($A554,[4]P.O.!$A:$J,3,),"")</f>
        <v>SINAPI SERVIÇO</v>
      </c>
      <c r="D554" s="81" t="str">
        <f>IFERROR(VLOOKUP($A554,[4]P.O.!$A:$J,4,),"")</f>
        <v>HASTE COPERWELD 3/4" X 3,00M COM CONECTOR</v>
      </c>
      <c r="E554" s="142" t="str">
        <f>IFERROR(VLOOKUP($A554,[4]P.O.!$A:$J,5,),"")</f>
        <v>UN</v>
      </c>
      <c r="F554" s="143">
        <f>IFERROR(VLOOKUP($A554,[4]P.O.!$A:$J,6,),"")</f>
        <v>7</v>
      </c>
      <c r="G554" s="144">
        <f>IFERROR(VLOOKUP($A554,[4]P.O.!$A:$J,7,),"")</f>
        <v>57.95</v>
      </c>
      <c r="H554" s="140">
        <f>IFERROR(VLOOKUP($A554,[4]P.O.!$A:$J,8,),"")</f>
        <v>72.44</v>
      </c>
      <c r="I554" s="140">
        <f>IFERROR(VLOOKUP($A554,[4]P.O.!$A:$J,9,),"")</f>
        <v>507.08</v>
      </c>
      <c r="J554" s="159">
        <f t="shared" si="60"/>
        <v>2.3860718902361005E-4</v>
      </c>
      <c r="K554" s="145">
        <f>IFERROR(VLOOKUP($A554,[4]P.O.!$A:$J,10,),"")</f>
        <v>0.25</v>
      </c>
      <c r="L554" s="265"/>
    </row>
    <row r="555" spans="1:12" s="249" customFormat="1" ht="49.5">
      <c r="A555" s="79" t="s">
        <v>509</v>
      </c>
      <c r="B555" s="80" t="str">
        <f>IFERROR(VLOOKUP($A555,[4]P.O.!$A:$J,2,),"")</f>
        <v>COMPS30047</v>
      </c>
      <c r="C555" s="80" t="str">
        <f>IFERROR(VLOOKUP($A555,[4]P.O.!$A:$J,3,),"")</f>
        <v>COMPOSIÇÃO</v>
      </c>
      <c r="D555" s="81" t="str">
        <f>IFERROR(VLOOKUP($A555,[4]P.O.!$A:$J,4,),"")</f>
        <v>FORNECIMENTO E INSTALAÇÃO DE CAIXA DE INSPEÇÃO EM POLIPROPILENO, COM DIÂMETRO DE 300mm, COM TAMPA ABA LARGA, COM MESMO DIÂMETRO REF.: TEL-505 E TEL-551 DA TERMOTÉCNICA OU EQUIVALENTE TECNICO</v>
      </c>
      <c r="E555" s="142" t="str">
        <f>IFERROR(VLOOKUP($A555,[4]P.O.!$A:$J,5,),"")</f>
        <v>PÇ</v>
      </c>
      <c r="F555" s="143">
        <f>IFERROR(VLOOKUP($A555,[4]P.O.!$A:$J,6,),"")</f>
        <v>7</v>
      </c>
      <c r="G555" s="144">
        <f>IFERROR(VLOOKUP($A555,[4]P.O.!$A:$J,7,),"")</f>
        <v>67.39</v>
      </c>
      <c r="H555" s="140">
        <f>IFERROR(VLOOKUP($A555,[4]P.O.!$A:$J,8,),"")</f>
        <v>84.24</v>
      </c>
      <c r="I555" s="140">
        <f>IFERROR(VLOOKUP($A555,[4]P.O.!$A:$J,9,),"")</f>
        <v>589.67999999999995</v>
      </c>
      <c r="J555" s="159">
        <f t="shared" si="60"/>
        <v>2.7747473223838911E-4</v>
      </c>
      <c r="K555" s="145">
        <f>IFERROR(VLOOKUP($A555,[4]P.O.!$A:$J,10,),"")</f>
        <v>0.25</v>
      </c>
      <c r="L555" s="265"/>
    </row>
    <row r="556" spans="1:12" s="249" customFormat="1" ht="33">
      <c r="A556" s="79" t="s">
        <v>510</v>
      </c>
      <c r="B556" s="80" t="str">
        <f>IFERROR(VLOOKUP($A556,[4]P.O.!$A:$J,2,),"")</f>
        <v>COMPS30048</v>
      </c>
      <c r="C556" s="80" t="str">
        <f>IFERROR(VLOOKUP($A556,[4]P.O.!$A:$J,3,),"")</f>
        <v>COMPOSIÇÃO</v>
      </c>
      <c r="D556" s="81" t="str">
        <f>IFERROR(VLOOKUP($A556,[4]P.O.!$A:$J,4,),"")</f>
        <v>FORNECIMENTO E INSTALAÇÃO DE BARRA CHATA EM ALUMÍNIO PERFURADA E ESTAMPADA 3/4'' x 1/4'' x 3M</v>
      </c>
      <c r="E556" s="142" t="str">
        <f>IFERROR(VLOOKUP($A556,[4]P.O.!$A:$J,5,),"")</f>
        <v>PÇ</v>
      </c>
      <c r="F556" s="143">
        <f>IFERROR(VLOOKUP($A556,[4]P.O.!$A:$J,6,),"")</f>
        <v>12</v>
      </c>
      <c r="G556" s="144">
        <f>IFERROR(VLOOKUP($A556,[4]P.O.!$A:$J,7,),"")</f>
        <v>55.7</v>
      </c>
      <c r="H556" s="140">
        <f>IFERROR(VLOOKUP($A556,[4]P.O.!$A:$J,8,),"")</f>
        <v>69.63</v>
      </c>
      <c r="I556" s="140">
        <f>IFERROR(VLOOKUP($A556,[4]P.O.!$A:$J,9,),"")</f>
        <v>835.56</v>
      </c>
      <c r="J556" s="159">
        <f t="shared" si="60"/>
        <v>3.9317390325109965E-4</v>
      </c>
      <c r="K556" s="145">
        <f>IFERROR(VLOOKUP($A556,[4]P.O.!$A:$J,10,),"")</f>
        <v>0.25</v>
      </c>
      <c r="L556" s="265"/>
    </row>
    <row r="557" spans="1:12" s="249" customFormat="1">
      <c r="A557" s="79" t="s">
        <v>511</v>
      </c>
      <c r="B557" s="80" t="str">
        <f>IFERROR(VLOOKUP($A557,[4]P.O.!$A:$J,2,),"")</f>
        <v>COMPS30049</v>
      </c>
      <c r="C557" s="80" t="str">
        <f>IFERROR(VLOOKUP($A557,[4]P.O.!$A:$J,3,),"")</f>
        <v>COMPOSIÇÃO</v>
      </c>
      <c r="D557" s="81" t="str">
        <f>IFERROR(VLOOKUP($A557,[4]P.O.!$A:$J,4,),"")</f>
        <v>FORNECIMENTO E INSTALAÇÃO DE PARAFUSO INOX 4,2 X 32MM</v>
      </c>
      <c r="E557" s="142" t="str">
        <f>IFERROR(VLOOKUP($A557,[4]P.O.!$A:$J,5,),"")</f>
        <v>PÇ</v>
      </c>
      <c r="F557" s="143">
        <f>IFERROR(VLOOKUP($A557,[4]P.O.!$A:$J,6,),"")</f>
        <v>35</v>
      </c>
      <c r="G557" s="144">
        <f>IFERROR(VLOOKUP($A557,[4]P.O.!$A:$J,7,),"")</f>
        <v>15.08</v>
      </c>
      <c r="H557" s="140">
        <f>IFERROR(VLOOKUP($A557,[4]P.O.!$A:$J,8,),"")</f>
        <v>18.850000000000001</v>
      </c>
      <c r="I557" s="140">
        <f>IFERROR(VLOOKUP($A557,[4]P.O.!$A:$J,9,),"")</f>
        <v>659.75</v>
      </c>
      <c r="J557" s="159">
        <f t="shared" si="60"/>
        <v>3.1044626677906192E-4</v>
      </c>
      <c r="K557" s="145">
        <f>IFERROR(VLOOKUP($A557,[4]P.O.!$A:$J,10,),"")</f>
        <v>0.25</v>
      </c>
      <c r="L557" s="265"/>
    </row>
    <row r="558" spans="1:12" s="249" customFormat="1">
      <c r="A558" s="79" t="s">
        <v>512</v>
      </c>
      <c r="B558" s="80" t="str">
        <f>IFERROR(VLOOKUP($A558,[4]P.O.!$A:$J,2,),"")</f>
        <v>COMPS30050</v>
      </c>
      <c r="C558" s="80" t="str">
        <f>IFERROR(VLOOKUP($A558,[4]P.O.!$A:$J,3,),"")</f>
        <v>COMPOSIÇÃO</v>
      </c>
      <c r="D558" s="81" t="str">
        <f>IFERROR(VLOOKUP($A558,[4]P.O.!$A:$J,4,),"")</f>
        <v>FORNECIMENTO E INSTALAÇÃO DE BUCHA NYLON Nº 6</v>
      </c>
      <c r="E558" s="142" t="str">
        <f>IFERROR(VLOOKUP($A558,[4]P.O.!$A:$J,5,),"")</f>
        <v>PÇ</v>
      </c>
      <c r="F558" s="143">
        <f>IFERROR(VLOOKUP($A558,[4]P.O.!$A:$J,6,),"")</f>
        <v>35</v>
      </c>
      <c r="G558" s="144">
        <f>IFERROR(VLOOKUP($A558,[4]P.O.!$A:$J,7,),"")</f>
        <v>2.81</v>
      </c>
      <c r="H558" s="140">
        <f>IFERROR(VLOOKUP($A558,[4]P.O.!$A:$J,8,),"")</f>
        <v>3.51</v>
      </c>
      <c r="I558" s="140">
        <f>IFERROR(VLOOKUP($A558,[4]P.O.!$A:$J,9,),"")</f>
        <v>122.85</v>
      </c>
      <c r="J558" s="159">
        <f t="shared" si="60"/>
        <v>5.7807235882997736E-5</v>
      </c>
      <c r="K558" s="145">
        <f>IFERROR(VLOOKUP($A558,[4]P.O.!$A:$J,10,),"")</f>
        <v>0.25</v>
      </c>
      <c r="L558" s="265"/>
    </row>
    <row r="559" spans="1:12" s="249" customFormat="1" ht="49.5">
      <c r="A559" s="79" t="s">
        <v>513</v>
      </c>
      <c r="B559" s="80" t="str">
        <f>IFERROR(VLOOKUP($A559,[4]P.O.!$A:$J,2,),"")</f>
        <v>COMPS30012</v>
      </c>
      <c r="C559" s="80" t="str">
        <f>IFERROR(VLOOKUP($A559,[4]P.O.!$A:$J,3,),"")</f>
        <v>COMPOSIÇÃO</v>
      </c>
      <c r="D559" s="81" t="str">
        <f>IFERROR(VLOOKUP($A559,[4]P.O.!$A:$J,4,),"")</f>
        <v>FORNECIMENTO E INSTALAÇÃO DE ELETRODUTO ROSCÁVEL DE PVC RÍGIDO PRETO Ø1", ROSCA "BSP", FORNECIDO EM VARAS DE 3m DE COMPRIMENTO E COM 1 LUVA DE MESMO MATERIAL REF.: TIGRE OU EQUIVALENTE TECNICO</v>
      </c>
      <c r="E559" s="142" t="str">
        <f>IFERROR(VLOOKUP($A559,[4]P.O.!$A:$J,5,),"")</f>
        <v>PÇ</v>
      </c>
      <c r="F559" s="143">
        <f>IFERROR(VLOOKUP($A559,[4]P.O.!$A:$J,6,),"")</f>
        <v>5</v>
      </c>
      <c r="G559" s="144">
        <f>IFERROR(VLOOKUP($A559,[4]P.O.!$A:$J,7,),"")</f>
        <v>46.6</v>
      </c>
      <c r="H559" s="140">
        <f>IFERROR(VLOOKUP($A559,[4]P.O.!$A:$J,8,),"")</f>
        <v>58.25</v>
      </c>
      <c r="I559" s="140">
        <f>IFERROR(VLOOKUP($A559,[4]P.O.!$A:$J,9,),"")</f>
        <v>291.25</v>
      </c>
      <c r="J559" s="159">
        <f t="shared" si="60"/>
        <v>1.3704808669860066E-4</v>
      </c>
      <c r="K559" s="145">
        <f>IFERROR(VLOOKUP($A559,[4]P.O.!$A:$J,10,),"")</f>
        <v>0.25</v>
      </c>
      <c r="L559" s="265"/>
    </row>
    <row r="560" spans="1:12" s="249" customFormat="1">
      <c r="A560" s="79" t="s">
        <v>514</v>
      </c>
      <c r="B560" s="80" t="str">
        <f>IFERROR(VLOOKUP($A560,[4]P.O.!$A:$J,2,),"")</f>
        <v>COMPS30051</v>
      </c>
      <c r="C560" s="80" t="str">
        <f>IFERROR(VLOOKUP($A560,[4]P.O.!$A:$J,3,),"")</f>
        <v>COMPOSIÇÃO</v>
      </c>
      <c r="D560" s="81" t="str">
        <f>IFERROR(VLOOKUP($A560,[4]P.O.!$A:$J,4,),"")</f>
        <v xml:space="preserve">FORNECIMENTO E INSTALAÇÃO DE ABRAÇADEIRA TIPO D 1" </v>
      </c>
      <c r="E560" s="142" t="str">
        <f>IFERROR(VLOOKUP($A560,[4]P.O.!$A:$J,5,),"")</f>
        <v>PÇ</v>
      </c>
      <c r="F560" s="143">
        <f>IFERROR(VLOOKUP($A560,[4]P.O.!$A:$J,6,),"")</f>
        <v>20</v>
      </c>
      <c r="G560" s="144">
        <f>IFERROR(VLOOKUP($A560,[4]P.O.!$A:$J,7,),"")</f>
        <v>4.78</v>
      </c>
      <c r="H560" s="140">
        <f>IFERROR(VLOOKUP($A560,[4]P.O.!$A:$J,8,),"")</f>
        <v>5.98</v>
      </c>
      <c r="I560" s="140">
        <f>IFERROR(VLOOKUP($A560,[4]P.O.!$A:$J,9,),"")</f>
        <v>119.6</v>
      </c>
      <c r="J560" s="159">
        <f t="shared" si="60"/>
        <v>5.627794392842108E-5</v>
      </c>
      <c r="K560" s="145">
        <f>IFERROR(VLOOKUP($A560,[4]P.O.!$A:$J,10,),"")</f>
        <v>0.25</v>
      </c>
      <c r="L560" s="265"/>
    </row>
    <row r="561" spans="1:12" s="232" customFormat="1">
      <c r="A561" s="76" t="s">
        <v>515</v>
      </c>
      <c r="B561" s="77" t="str">
        <f>IFERROR(VLOOKUP($A561,[4]P.O.!$A:$J,2,),"")</f>
        <v>COMPS30052</v>
      </c>
      <c r="C561" s="77" t="str">
        <f>IFERROR(VLOOKUP($A561,[4]P.O.!$A:$J,3,),"")</f>
        <v>COMPOSIÇÃO</v>
      </c>
      <c r="D561" s="78" t="str">
        <f>IFERROR(VLOOKUP($A561,[4]P.O.!$A:$J,4,),"")</f>
        <v>FORNECIMENTO E INSTALAÇÃO DE TERMINAL 2 FUROS PARA CABO DE 35MM2</v>
      </c>
      <c r="E561" s="91" t="str">
        <f>IFERROR(VLOOKUP($A561,[4]P.O.!$A:$J,5,),"")</f>
        <v>PÇ</v>
      </c>
      <c r="F561" s="139">
        <f>IFERROR(VLOOKUP($A561,[4]P.O.!$A:$J,6,),"")</f>
        <v>9</v>
      </c>
      <c r="G561" s="140">
        <f>IFERROR(VLOOKUP($A561,[4]P.O.!$A:$J,7,),"")</f>
        <v>17.560000000000002</v>
      </c>
      <c r="H561" s="140">
        <f>IFERROR(VLOOKUP($A561,[4]P.O.!$A:$J,8,),"")</f>
        <v>21.95</v>
      </c>
      <c r="I561" s="140">
        <f>IFERROR(VLOOKUP($A561,[4]P.O.!$A:$J,9,),"")</f>
        <v>197.55</v>
      </c>
      <c r="J561" s="159">
        <f t="shared" si="60"/>
        <v>9.295742326972897E-5</v>
      </c>
      <c r="K561" s="145">
        <f>IFERROR(VLOOKUP($A561,[4]P.O.!$A:$J,10,),"")</f>
        <v>0.25</v>
      </c>
      <c r="L561" s="265"/>
    </row>
    <row r="562" spans="1:12" s="232" customFormat="1">
      <c r="A562" s="76" t="s">
        <v>516</v>
      </c>
      <c r="B562" s="77" t="str">
        <f>IFERROR(VLOOKUP($A562,[4]P.O.!$A:$J,2,),"")</f>
        <v>COMPS30053</v>
      </c>
      <c r="C562" s="77" t="str">
        <f>IFERROR(VLOOKUP($A562,[4]P.O.!$A:$J,3,),"")</f>
        <v>COMPOSIÇÃO</v>
      </c>
      <c r="D562" s="78" t="str">
        <f>IFERROR(VLOOKUP($A562,[4]P.O.!$A:$J,4,),"")</f>
        <v>FORNECIMENTO E INSTALAÇÃO DE TERMINAL 4 FUROS PARA BARRA DE 3/4'' x 1/4''</v>
      </c>
      <c r="E562" s="91" t="str">
        <f>IFERROR(VLOOKUP($A562,[4]P.O.!$A:$J,5,),"")</f>
        <v>PÇ</v>
      </c>
      <c r="F562" s="139">
        <f>IFERROR(VLOOKUP($A562,[4]P.O.!$A:$J,6,),"")</f>
        <v>9</v>
      </c>
      <c r="G562" s="140">
        <f>IFERROR(VLOOKUP($A562,[4]P.O.!$A:$J,7,),"")</f>
        <v>33.19</v>
      </c>
      <c r="H562" s="140">
        <f>IFERROR(VLOOKUP($A562,[4]P.O.!$A:$J,8,),"")</f>
        <v>41.49</v>
      </c>
      <c r="I562" s="140">
        <f>IFERROR(VLOOKUP($A562,[4]P.O.!$A:$J,9,),"")</f>
        <v>373.41</v>
      </c>
      <c r="J562" s="159">
        <f t="shared" si="60"/>
        <v>1.7570858731029865E-4</v>
      </c>
      <c r="K562" s="145">
        <f>IFERROR(VLOOKUP($A562,[4]P.O.!$A:$J,10,),"")</f>
        <v>0.25</v>
      </c>
      <c r="L562" s="265"/>
    </row>
    <row r="563" spans="1:12" s="232" customFormat="1">
      <c r="A563" s="76" t="s">
        <v>517</v>
      </c>
      <c r="B563" s="77" t="str">
        <f>IFERROR(VLOOKUP($A563,[4]P.O.!$A:$J,2,),"")</f>
        <v>COMPS30054</v>
      </c>
      <c r="C563" s="77" t="str">
        <f>IFERROR(VLOOKUP($A563,[4]P.O.!$A:$J,3,),"")</f>
        <v>COMPOSIÇÃO</v>
      </c>
      <c r="D563" s="78" t="str">
        <f>IFERROR(VLOOKUP($A563,[4]P.O.!$A:$J,4,),"")</f>
        <v>FORNECIMENTO E INSTALAÇÃO DE PRESILHA LATÃO COM FURO PARA CABO DE 35mm²</v>
      </c>
      <c r="E563" s="91" t="str">
        <f>IFERROR(VLOOKUP($A563,[4]P.O.!$A:$J,5,),"")</f>
        <v>PÇ</v>
      </c>
      <c r="F563" s="139">
        <f>IFERROR(VLOOKUP($A563,[4]P.O.!$A:$J,6,),"")</f>
        <v>30</v>
      </c>
      <c r="G563" s="140">
        <f>IFERROR(VLOOKUP($A563,[4]P.O.!$A:$J,7,),"")</f>
        <v>0.67</v>
      </c>
      <c r="H563" s="140">
        <f>IFERROR(VLOOKUP($A563,[4]P.O.!$A:$J,8,),"")</f>
        <v>0.84</v>
      </c>
      <c r="I563" s="140">
        <f>IFERROR(VLOOKUP($A563,[4]P.O.!$A:$J,9,),"")</f>
        <v>25.2</v>
      </c>
      <c r="J563" s="159">
        <f t="shared" si="60"/>
        <v>1.1857894540102101E-5</v>
      </c>
      <c r="K563" s="145">
        <f>IFERROR(VLOOKUP($A563,[4]P.O.!$A:$J,10,),"")</f>
        <v>0.25</v>
      </c>
      <c r="L563" s="265"/>
    </row>
    <row r="564" spans="1:12" s="232" customFormat="1" ht="66">
      <c r="A564" s="76" t="s">
        <v>518</v>
      </c>
      <c r="B564" s="77" t="str">
        <f>IFERROR(VLOOKUP($A564,[4]P.O.!$A:$J,2,),"")</f>
        <v>COMPS30055</v>
      </c>
      <c r="C564" s="77" t="str">
        <f>IFERROR(VLOOKUP($A564,[4]P.O.!$A:$J,3,),"")</f>
        <v>COMPOSIÇÃO</v>
      </c>
      <c r="D564" s="78" t="str">
        <f>IFERROR(VLOOKUP($A564,[4]P.O.!$A:$J,4,),"")</f>
        <v>FORNECIMENTO E INSTALAÇÃO DE CAIXA DE EQUALIZAÇÃO, COM SETE CONECTORES, ISOLADORES DE BAIXA TENSÃO DE φ 25mm E BARRAMENTO DE COBRE 150 x 150 x 6,3mm, CONFORME DETALHE EM PROJETO, REF.: TEL-901 DA TERMOTÉCNICA OU EQUIVALENTE TECNICO</v>
      </c>
      <c r="E564" s="91" t="str">
        <f>IFERROR(VLOOKUP($A564,[4]P.O.!$A:$J,5,),"")</f>
        <v>PÇ</v>
      </c>
      <c r="F564" s="139">
        <f>IFERROR(VLOOKUP($A564,[4]P.O.!$A:$J,6,),"")</f>
        <v>1</v>
      </c>
      <c r="G564" s="140">
        <f>IFERROR(VLOOKUP($A564,[4]P.O.!$A:$J,7,),"")</f>
        <v>141.1</v>
      </c>
      <c r="H564" s="140">
        <f>IFERROR(VLOOKUP($A564,[4]P.O.!$A:$J,8,),"")</f>
        <v>176.38</v>
      </c>
      <c r="I564" s="140">
        <f>IFERROR(VLOOKUP($A564,[4]P.O.!$A:$J,9,),"")</f>
        <v>176.38</v>
      </c>
      <c r="J564" s="159">
        <f t="shared" si="60"/>
        <v>8.2995850753301927E-5</v>
      </c>
      <c r="K564" s="145">
        <f>IFERROR(VLOOKUP($A564,[4]P.O.!$A:$J,10,),"")</f>
        <v>0.25</v>
      </c>
      <c r="L564" s="265"/>
    </row>
    <row r="565" spans="1:12" s="232" customFormat="1" ht="33">
      <c r="A565" s="76" t="s">
        <v>519</v>
      </c>
      <c r="B565" s="77">
        <f>IFERROR(VLOOKUP($A565,[4]P.O.!$A:$J,2,),"")</f>
        <v>72271</v>
      </c>
      <c r="C565" s="77" t="str">
        <f>IFERROR(VLOOKUP($A565,[4]P.O.!$A:$J,3,),"")</f>
        <v>SINAPI SERVIÇO</v>
      </c>
      <c r="D565" s="78" t="str">
        <f>IFERROR(VLOOKUP($A565,[4]P.O.!$A:$J,4,),"")</f>
        <v>CONECTOR PARAFUSO FENDIDO SPLIT-BOLT - PARA CABO DE 16MM2 - FORNECIMENTO E INSTALACAO</v>
      </c>
      <c r="E565" s="91" t="str">
        <f>IFERROR(VLOOKUP($A565,[4]P.O.!$A:$J,5,),"")</f>
        <v>UN</v>
      </c>
      <c r="F565" s="139">
        <f>IFERROR(VLOOKUP($A565,[4]P.O.!$A:$J,6,),"")</f>
        <v>8</v>
      </c>
      <c r="G565" s="140">
        <f>IFERROR(VLOOKUP($A565,[4]P.O.!$A:$J,7,),"")</f>
        <v>9.3699999999999992</v>
      </c>
      <c r="H565" s="140">
        <f>IFERROR(VLOOKUP($A565,[4]P.O.!$A:$J,8,),"")</f>
        <v>11.71</v>
      </c>
      <c r="I565" s="140">
        <f>IFERROR(VLOOKUP($A565,[4]P.O.!$A:$J,9,),"")</f>
        <v>93.68</v>
      </c>
      <c r="J565" s="159">
        <f t="shared" si="60"/>
        <v>4.4081252401458926E-5</v>
      </c>
      <c r="K565" s="145">
        <f>IFERROR(VLOOKUP($A565,[4]P.O.!$A:$J,10,),"")</f>
        <v>0.25</v>
      </c>
      <c r="L565" s="265"/>
    </row>
    <row r="566" spans="1:12" s="232" customFormat="1" ht="33">
      <c r="A566" s="76" t="s">
        <v>520</v>
      </c>
      <c r="B566" s="77" t="str">
        <f>IFERROR(VLOOKUP($A566,[4]P.O.!$A:$J,2,),"")</f>
        <v>COMPS30071</v>
      </c>
      <c r="C566" s="77" t="str">
        <f>IFERROR(VLOOKUP($A566,[4]P.O.!$A:$J,3,),"")</f>
        <v>COMPOSIÇÃO</v>
      </c>
      <c r="D566" s="78" t="str">
        <f>IFERROR(VLOOKUP($A566,[4]P.O.!$A:$J,4,),"")</f>
        <v>FORNECIMENTO E COLOCAÇÃO DE FITA PERFURADA EM LATÃO NIQUELADA REF.: TEL-750 DA TERMOTÉCNICA OU EQUIVALENTE TECNICO</v>
      </c>
      <c r="E566" s="91" t="str">
        <f>IFERROR(VLOOKUP($A566,[4]P.O.!$A:$J,5,),"")</f>
        <v>PÇ</v>
      </c>
      <c r="F566" s="139">
        <f>IFERROR(VLOOKUP($A566,[4]P.O.!$A:$J,6,),"")</f>
        <v>6</v>
      </c>
      <c r="G566" s="140">
        <f>IFERROR(VLOOKUP($A566,[4]P.O.!$A:$J,7,),"")</f>
        <v>81.61</v>
      </c>
      <c r="H566" s="140">
        <f>IFERROR(VLOOKUP($A566,[4]P.O.!$A:$J,8,),"")</f>
        <v>102.01</v>
      </c>
      <c r="I566" s="140">
        <f>IFERROR(VLOOKUP($A566,[4]P.O.!$A:$J,9,),"")</f>
        <v>612.05999999999995</v>
      </c>
      <c r="J566" s="159">
        <f t="shared" si="60"/>
        <v>2.8800567191328931E-4</v>
      </c>
      <c r="K566" s="145">
        <f>IFERROR(VLOOKUP($A566,[4]P.O.!$A:$J,10,),"")</f>
        <v>0.25</v>
      </c>
      <c r="L566" s="265"/>
    </row>
    <row r="567" spans="1:12" s="249" customFormat="1" ht="33">
      <c r="A567" s="79" t="s">
        <v>521</v>
      </c>
      <c r="B567" s="80" t="str">
        <f>IFERROR(VLOOKUP($A567,[4]P.O.!$A:$J,2,),"")</f>
        <v>COMPS30072</v>
      </c>
      <c r="C567" s="80" t="str">
        <f>IFERROR(VLOOKUP($A567,[4]P.O.!$A:$J,3,),"")</f>
        <v>COMPOSIÇÃO</v>
      </c>
      <c r="D567" s="81" t="str">
        <f>IFERROR(VLOOKUP($A567,[4]P.O.!$A:$J,4,),"")</f>
        <v>FORNECIMENTO E COLOCAÇÃO DE TERMINAL DE COMPRESSÃO PARA CABO DE 50mm² REF.: TEL-5150 DA TERMOTÉCNICA OU EQUIVALENTE TECNICO</v>
      </c>
      <c r="E567" s="142" t="str">
        <f>IFERROR(VLOOKUP($A567,[4]P.O.!$A:$J,5,),"")</f>
        <v>PÇ</v>
      </c>
      <c r="F567" s="143">
        <f>IFERROR(VLOOKUP($A567,[4]P.O.!$A:$J,6,),"")</f>
        <v>12</v>
      </c>
      <c r="G567" s="144">
        <f>IFERROR(VLOOKUP($A567,[4]P.O.!$A:$J,7,),"")</f>
        <v>26.36</v>
      </c>
      <c r="H567" s="140">
        <f>IFERROR(VLOOKUP($A567,[4]P.O.!$A:$J,8,),"")</f>
        <v>32.950000000000003</v>
      </c>
      <c r="I567" s="140">
        <f>IFERROR(VLOOKUP($A567,[4]P.O.!$A:$J,9,),"")</f>
        <v>395.4</v>
      </c>
      <c r="J567" s="159">
        <f t="shared" si="60"/>
        <v>1.8605601195064963E-4</v>
      </c>
      <c r="K567" s="145">
        <f>IFERROR(VLOOKUP($A567,[4]P.O.!$A:$J,10,),"")</f>
        <v>0.25</v>
      </c>
      <c r="L567" s="265"/>
    </row>
    <row r="568" spans="1:12" s="249" customFormat="1" ht="33">
      <c r="A568" s="79" t="s">
        <v>522</v>
      </c>
      <c r="B568" s="80" t="str">
        <f>IFERROR(VLOOKUP($A568,[4]P.O.!$A:$J,2,),"")</f>
        <v>COMPS30073</v>
      </c>
      <c r="C568" s="80" t="str">
        <f>IFERROR(VLOOKUP($A568,[4]P.O.!$A:$J,3,),"")</f>
        <v>COMPOSIÇÃO</v>
      </c>
      <c r="D568" s="81" t="str">
        <f>IFERROR(VLOOKUP($A568,[4]P.O.!$A:$J,4,),"")</f>
        <v>FORNECIMENTO DE COLOCAÇÃO DE PARAFUSO AÇO INOX, φ1/4" REF.: TEL-5329 DA TERMOTÉCNICA OU EQUIVALENTE TECNICO</v>
      </c>
      <c r="E568" s="142" t="str">
        <f>IFERROR(VLOOKUP($A568,[4]P.O.!$A:$J,5,),"")</f>
        <v>PÇ</v>
      </c>
      <c r="F568" s="143">
        <f>IFERROR(VLOOKUP($A568,[4]P.O.!$A:$J,6,),"")</f>
        <v>6</v>
      </c>
      <c r="G568" s="144">
        <f>IFERROR(VLOOKUP($A568,[4]P.O.!$A:$J,7,),"")</f>
        <v>0.51</v>
      </c>
      <c r="H568" s="140">
        <f>IFERROR(VLOOKUP($A568,[4]P.O.!$A:$J,8,),"")</f>
        <v>0.64</v>
      </c>
      <c r="I568" s="140">
        <f>IFERROR(VLOOKUP($A568,[4]P.O.!$A:$J,9,),"")</f>
        <v>3.84</v>
      </c>
      <c r="J568" s="159">
        <f t="shared" si="60"/>
        <v>1.8069172632536534E-6</v>
      </c>
      <c r="K568" s="145">
        <f>IFERROR(VLOOKUP($A568,[4]P.O.!$A:$J,10,),"")</f>
        <v>0.25</v>
      </c>
      <c r="L568" s="265"/>
    </row>
    <row r="569" spans="1:12" s="249" customFormat="1" ht="33">
      <c r="A569" s="79" t="s">
        <v>523</v>
      </c>
      <c r="B569" s="80" t="str">
        <f>IFERROR(VLOOKUP($A569,[4]P.O.!$A:$J,2,),"")</f>
        <v>COMPS30074</v>
      </c>
      <c r="C569" s="80" t="str">
        <f>IFERROR(VLOOKUP($A569,[4]P.O.!$A:$J,3,),"")</f>
        <v>COMPOSIÇÃO</v>
      </c>
      <c r="D569" s="81" t="str">
        <f>IFERROR(VLOOKUP($A569,[4]P.O.!$A:$J,4,),"")</f>
        <v>FORNECIMENTO E COLOCAÇÃO DE PORCA AÇO INOX, φ1/4" REF.: TEL-5314 DA TERMOTÉCNICA OU EQUIVALENTE TECNICO</v>
      </c>
      <c r="E569" s="142" t="str">
        <f>IFERROR(VLOOKUP($A569,[4]P.O.!$A:$J,5,),"")</f>
        <v>PÇ</v>
      </c>
      <c r="F569" s="143">
        <f>IFERROR(VLOOKUP($A569,[4]P.O.!$A:$J,6,),"")</f>
        <v>6</v>
      </c>
      <c r="G569" s="144">
        <f>IFERROR(VLOOKUP($A569,[4]P.O.!$A:$J,7,),"")</f>
        <v>0.33999999999999997</v>
      </c>
      <c r="H569" s="140">
        <f>IFERROR(VLOOKUP($A569,[4]P.O.!$A:$J,8,),"")</f>
        <v>0.43</v>
      </c>
      <c r="I569" s="140">
        <f>IFERROR(VLOOKUP($A569,[4]P.O.!$A:$J,9,),"")</f>
        <v>2.58</v>
      </c>
      <c r="J569" s="159">
        <f t="shared" si="60"/>
        <v>1.2140225362485484E-6</v>
      </c>
      <c r="K569" s="145">
        <f>IFERROR(VLOOKUP($A569,[4]P.O.!$A:$J,10,),"")</f>
        <v>0.25</v>
      </c>
      <c r="L569" s="265"/>
    </row>
    <row r="570" spans="1:12" s="249" customFormat="1" ht="33">
      <c r="A570" s="79" t="s">
        <v>524</v>
      </c>
      <c r="B570" s="80" t="str">
        <f>IFERROR(VLOOKUP($A570,[4]P.O.!$A:$J,2,),"")</f>
        <v>COMPS30075</v>
      </c>
      <c r="C570" s="80" t="str">
        <f>IFERROR(VLOOKUP($A570,[4]P.O.!$A:$J,3,),"")</f>
        <v>COMPOSIÇÃO</v>
      </c>
      <c r="D570" s="81" t="str">
        <f>IFERROR(VLOOKUP($A570,[4]P.O.!$A:$J,4,),"")</f>
        <v>FORNECIMENTO E COLOCAÇÃO DE ARRUELA LISA AÇO INOX, φ1/4" REF.: TEL-5303 DA TERMOTÉCNICA OU EQUIVALENTE TECNICO</v>
      </c>
      <c r="E570" s="142" t="str">
        <f>IFERROR(VLOOKUP($A570,[4]P.O.!$A:$J,5,),"")</f>
        <v>PÇ</v>
      </c>
      <c r="F570" s="143">
        <f>IFERROR(VLOOKUP($A570,[4]P.O.!$A:$J,6,),"")</f>
        <v>6</v>
      </c>
      <c r="G570" s="144">
        <f>IFERROR(VLOOKUP($A570,[4]P.O.!$A:$J,7,),"")</f>
        <v>0.43000000000000005</v>
      </c>
      <c r="H570" s="140">
        <f>IFERROR(VLOOKUP($A570,[4]P.O.!$A:$J,8,),"")</f>
        <v>0.54</v>
      </c>
      <c r="I570" s="140">
        <f>IFERROR(VLOOKUP($A570,[4]P.O.!$A:$J,9,),"")</f>
        <v>3.24</v>
      </c>
      <c r="J570" s="159">
        <f t="shared" si="60"/>
        <v>1.5245864408702702E-6</v>
      </c>
      <c r="K570" s="145">
        <f>IFERROR(VLOOKUP($A570,[4]P.O.!$A:$J,10,),"")</f>
        <v>0.25</v>
      </c>
      <c r="L570" s="265"/>
    </row>
    <row r="571" spans="1:12" s="249" customFormat="1" ht="33">
      <c r="A571" s="79" t="s">
        <v>525</v>
      </c>
      <c r="B571" s="80" t="str">
        <f>IFERROR(VLOOKUP($A571,[4]P.O.!$A:$J,2,),"")</f>
        <v>COMPS30076</v>
      </c>
      <c r="C571" s="80" t="str">
        <f>IFERROR(VLOOKUP($A571,[4]P.O.!$A:$J,3,),"")</f>
        <v>COMPOSIÇÃO</v>
      </c>
      <c r="D571" s="81" t="str">
        <f>IFERROR(VLOOKUP($A571,[4]P.O.!$A:$J,4,),"")</f>
        <v>FORNECIMENTO E INSTALAÇÃO DE FIXADOR UNIVERSAL DE CABOS REF.: TEL-5019 DA TERMOTÉCNICA OU EQUIVALENTE TECNICO</v>
      </c>
      <c r="E571" s="142" t="str">
        <f>IFERROR(VLOOKUP($A571,[4]P.O.!$A:$J,5,),"")</f>
        <v>PÇ</v>
      </c>
      <c r="F571" s="143">
        <f>IFERROR(VLOOKUP($A571,[4]P.O.!$A:$J,6,),"")</f>
        <v>60</v>
      </c>
      <c r="G571" s="144">
        <f>IFERROR(VLOOKUP($A571,[4]P.O.!$A:$J,7,),"")</f>
        <v>7.72</v>
      </c>
      <c r="H571" s="140">
        <f>IFERROR(VLOOKUP($A571,[4]P.O.!$A:$J,8,),"")</f>
        <v>9.65</v>
      </c>
      <c r="I571" s="140">
        <f>IFERROR(VLOOKUP($A571,[4]P.O.!$A:$J,9,),"")</f>
        <v>579</v>
      </c>
      <c r="J571" s="159">
        <f t="shared" si="60"/>
        <v>2.7244924359996493E-4</v>
      </c>
      <c r="K571" s="145">
        <f>IFERROR(VLOOKUP($A571,[4]P.O.!$A:$J,10,),"")</f>
        <v>0.25</v>
      </c>
      <c r="L571" s="265"/>
    </row>
    <row r="572" spans="1:12" s="249" customFormat="1" ht="33">
      <c r="A572" s="79" t="s">
        <v>526</v>
      </c>
      <c r="B572" s="80" t="str">
        <f>IFERROR(VLOOKUP($A572,[4]P.O.!$A:$J,2,),"")</f>
        <v>COMPS30077</v>
      </c>
      <c r="C572" s="80" t="str">
        <f>IFERROR(VLOOKUP($A572,[4]P.O.!$A:$J,3,),"")</f>
        <v>COMPOSIÇÃO</v>
      </c>
      <c r="D572" s="81" t="str">
        <f>IFERROR(VLOOKUP($A572,[4]P.O.!$A:$J,4,),"")</f>
        <v>FORNECIMENTO E COLOCAÇÃO DE MOLDE TIPO HCL 5/8. 50-5 PARA SOLDA EXOTÉRMICA REF.: TEL-95611 DA TERMOTÉCNICA OU EQUIVALENTE TECNICO</v>
      </c>
      <c r="E572" s="142" t="str">
        <f>IFERROR(VLOOKUP($A572,[4]P.O.!$A:$J,5,),"")</f>
        <v>PÇ</v>
      </c>
      <c r="F572" s="143">
        <f>IFERROR(VLOOKUP($A572,[4]P.O.!$A:$J,6,),"")</f>
        <v>1</v>
      </c>
      <c r="G572" s="144">
        <f>IFERROR(VLOOKUP($A572,[4]P.O.!$A:$J,7,),"")</f>
        <v>218.01000000000002</v>
      </c>
      <c r="H572" s="140">
        <f>IFERROR(VLOOKUP($A572,[4]P.O.!$A:$J,8,),"")</f>
        <v>272.51</v>
      </c>
      <c r="I572" s="140">
        <f>IFERROR(VLOOKUP($A572,[4]P.O.!$A:$J,9,),"")</f>
        <v>272.51</v>
      </c>
      <c r="J572" s="159">
        <f t="shared" si="60"/>
        <v>1.2822995401282633E-4</v>
      </c>
      <c r="K572" s="145">
        <f>IFERROR(VLOOKUP($A572,[4]P.O.!$A:$J,10,),"")</f>
        <v>0.25</v>
      </c>
      <c r="L572" s="265"/>
    </row>
    <row r="573" spans="1:12" s="249" customFormat="1" ht="33">
      <c r="A573" s="79" t="s">
        <v>527</v>
      </c>
      <c r="B573" s="80" t="str">
        <f>IFERROR(VLOOKUP($A573,[4]P.O.!$A:$J,2,),"")</f>
        <v>COMPS30078</v>
      </c>
      <c r="C573" s="80" t="str">
        <f>IFERROR(VLOOKUP($A573,[4]P.O.!$A:$J,3,),"")</f>
        <v>COMPOSIÇÃO</v>
      </c>
      <c r="D573" s="81" t="str">
        <f>IFERROR(VLOOKUP($A573,[4]P.O.!$A:$J,4,),"")</f>
        <v>FORNECIMENTO E COLOCAÇÃO DE CARTUCHO 115 PARA SOLDA EXOTÉRMICA REF.: TEL-99115 DA TERMOTÉCNICA OU EQUIVALENTE TECNICO</v>
      </c>
      <c r="E573" s="142" t="str">
        <f>IFERROR(VLOOKUP($A573,[4]P.O.!$A:$J,5,),"")</f>
        <v>PÇ</v>
      </c>
      <c r="F573" s="143">
        <f>IFERROR(VLOOKUP($A573,[4]P.O.!$A:$J,6,),"")</f>
        <v>1</v>
      </c>
      <c r="G573" s="144">
        <f>IFERROR(VLOOKUP($A573,[4]P.O.!$A:$J,7,),"")</f>
        <v>17.77</v>
      </c>
      <c r="H573" s="140">
        <f>IFERROR(VLOOKUP($A573,[4]P.O.!$A:$J,8,),"")</f>
        <v>22.21</v>
      </c>
      <c r="I573" s="140">
        <f>IFERROR(VLOOKUP($A573,[4]P.O.!$A:$J,9,),"")</f>
        <v>22.21</v>
      </c>
      <c r="J573" s="159">
        <f t="shared" si="60"/>
        <v>1.0450945941891574E-5</v>
      </c>
      <c r="K573" s="145">
        <f>IFERROR(VLOOKUP($A573,[4]P.O.!$A:$J,10,),"")</f>
        <v>0.25</v>
      </c>
      <c r="L573" s="265"/>
    </row>
    <row r="574" spans="1:12" s="232" customFormat="1" ht="33">
      <c r="A574" s="76" t="s">
        <v>528</v>
      </c>
      <c r="B574" s="77" t="str">
        <f>IFERROR(VLOOKUP($A574,[4]P.O.!$A:$J,2,),"")</f>
        <v>COTIS30068</v>
      </c>
      <c r="C574" s="77" t="str">
        <f>IFERROR(VLOOKUP($A574,[4]P.O.!$A:$J,3,),"")</f>
        <v>COTAÇÃO</v>
      </c>
      <c r="D574" s="78" t="str">
        <f>IFERROR(VLOOKUP($A574,[4]P.O.!$A:$J,4,),"")</f>
        <v>FORNECIMENTO DE ALICATE Z-201 PARA SOLDA EXOTÉRMICA REF.: TEL-98201 DA TERMOTÉCNICA OU EQUIVALENTE TECNICO</v>
      </c>
      <c r="E574" s="91" t="str">
        <f>IFERROR(VLOOKUP($A574,[4]P.O.!$A:$J,5,),"")</f>
        <v>PÇ</v>
      </c>
      <c r="F574" s="139">
        <f>IFERROR(VLOOKUP($A574,[4]P.O.!$A:$J,6,),"")</f>
        <v>1</v>
      </c>
      <c r="G574" s="140">
        <f>IFERROR(VLOOKUP($A574,[4]P.O.!$A:$J,7,),"")</f>
        <v>50.504918290280564</v>
      </c>
      <c r="H574" s="140">
        <f>IFERROR(VLOOKUP($A574,[4]P.O.!$A:$J,8,),"")</f>
        <v>58.99</v>
      </c>
      <c r="I574" s="140">
        <f>IFERROR(VLOOKUP($A574,[4]P.O.!$A:$J,9,),"")</f>
        <v>58.99</v>
      </c>
      <c r="J574" s="159">
        <f t="shared" si="60"/>
        <v>2.7757825353992974E-5</v>
      </c>
      <c r="K574" s="145">
        <f>IFERROR(VLOOKUP($A574,[4]P.O.!$A:$J,10,),"")</f>
        <v>0.16800000000000001</v>
      </c>
      <c r="L574" s="265"/>
    </row>
    <row r="575" spans="1:12" s="232" customFormat="1" ht="33">
      <c r="A575" s="76" t="s">
        <v>529</v>
      </c>
      <c r="B575" s="77" t="str">
        <f>IFERROR(VLOOKUP($A575,[4]P.O.!$A:$J,2,),"")</f>
        <v>COMPS30079</v>
      </c>
      <c r="C575" s="77" t="str">
        <f>IFERROR(VLOOKUP($A575,[4]P.O.!$A:$J,3,),"")</f>
        <v>COMPOSIÇÃO</v>
      </c>
      <c r="D575" s="78" t="str">
        <f>IFERROR(VLOOKUP($A575,[4]P.O.!$A:$J,4,),"")</f>
        <v>FORNECIMENTO E COLOCAÇÃO DE BUCHA DE NYLON Nº08 REF.: TEL-5308 DA TERMOTÉCNICA OU EQUIVALENTE TECNICO</v>
      </c>
      <c r="E575" s="91" t="str">
        <f>IFERROR(VLOOKUP($A575,[4]P.O.!$A:$J,5,),"")</f>
        <v>PÇ</v>
      </c>
      <c r="F575" s="139">
        <f>IFERROR(VLOOKUP($A575,[4]P.O.!$A:$J,6,),"")</f>
        <v>6</v>
      </c>
      <c r="G575" s="140">
        <f>IFERROR(VLOOKUP($A575,[4]P.O.!$A:$J,7,),"")</f>
        <v>2.91</v>
      </c>
      <c r="H575" s="140">
        <f>IFERROR(VLOOKUP($A575,[4]P.O.!$A:$J,8,),"")</f>
        <v>3.64</v>
      </c>
      <c r="I575" s="140">
        <f>IFERROR(VLOOKUP($A575,[4]P.O.!$A:$J,9,),"")</f>
        <v>21.84</v>
      </c>
      <c r="J575" s="159">
        <f t="shared" si="60"/>
        <v>1.0276841934755154E-5</v>
      </c>
      <c r="K575" s="145">
        <f>IFERROR(VLOOKUP($A575,[4]P.O.!$A:$J,10,),"")</f>
        <v>0.25</v>
      </c>
      <c r="L575" s="265"/>
    </row>
    <row r="576" spans="1:12" s="232" customFormat="1" ht="33">
      <c r="A576" s="76" t="s">
        <v>530</v>
      </c>
      <c r="B576" s="77" t="str">
        <f>IFERROR(VLOOKUP($A576,[4]P.O.!$A:$J,2,),"")</f>
        <v>COMPS30080</v>
      </c>
      <c r="C576" s="77" t="str">
        <f>IFERROR(VLOOKUP($A576,[4]P.O.!$A:$J,3,),"")</f>
        <v>COMPOSIÇÃO</v>
      </c>
      <c r="D576" s="78" t="str">
        <f>IFERROR(VLOOKUP($A576,[4]P.O.!$A:$J,4,),"")</f>
        <v>FORNECIMENTO E COLOCAÇÃO DE ABRAÇADEIRA METÁLICA, COM ARRUELA INOX PRESSÃO REF.: TEL-5311 DA TERMOTÉCNICA OU EQUIVALENTE TECNICO</v>
      </c>
      <c r="E576" s="91" t="str">
        <f>IFERROR(VLOOKUP($A576,[4]P.O.!$A:$J,5,),"")</f>
        <v>PÇ</v>
      </c>
      <c r="F576" s="139">
        <f>IFERROR(VLOOKUP($A576,[4]P.O.!$A:$J,6,),"")</f>
        <v>6</v>
      </c>
      <c r="G576" s="140">
        <f>IFERROR(VLOOKUP($A576,[4]P.O.!$A:$J,7,),"")</f>
        <v>3.38</v>
      </c>
      <c r="H576" s="140">
        <f>IFERROR(VLOOKUP($A576,[4]P.O.!$A:$J,8,),"")</f>
        <v>4.2300000000000004</v>
      </c>
      <c r="I576" s="140">
        <f>IFERROR(VLOOKUP($A576,[4]P.O.!$A:$J,9,),"")</f>
        <v>25.38</v>
      </c>
      <c r="J576" s="159">
        <f t="shared" si="60"/>
        <v>1.1942593786817115E-5</v>
      </c>
      <c r="K576" s="145">
        <f>IFERROR(VLOOKUP($A576,[4]P.O.!$A:$J,10,),"")</f>
        <v>0.25</v>
      </c>
      <c r="L576" s="265"/>
    </row>
    <row r="577" spans="1:12" s="232" customFormat="1" ht="33">
      <c r="A577" s="76" t="s">
        <v>531</v>
      </c>
      <c r="B577" s="77" t="str">
        <f>IFERROR(VLOOKUP($A577,[4]P.O.!$A:$J,2,),"")</f>
        <v>COMPS30081</v>
      </c>
      <c r="C577" s="77" t="str">
        <f>IFERROR(VLOOKUP($A577,[4]P.O.!$A:$J,3,),"")</f>
        <v>COMPOSIÇÃO</v>
      </c>
      <c r="D577" s="78" t="str">
        <f>IFERROR(VLOOKUP($A577,[4]P.O.!$A:$J,4,),"")</f>
        <v>FORNECIMENTO E COLOCAÇÃO DE PARAFUSO SEXTAVADO EM AÇO INOX ROSCA SOBERBA M6 X 45mm REF.: TEL-5346 DA TERMOTÉCNICA OU EQUIVALENTE TECNICO</v>
      </c>
      <c r="E577" s="91" t="str">
        <f>IFERROR(VLOOKUP($A577,[4]P.O.!$A:$J,5,),"")</f>
        <v>PÇ</v>
      </c>
      <c r="F577" s="139">
        <f>IFERROR(VLOOKUP($A577,[4]P.O.!$A:$J,6,),"")</f>
        <v>6</v>
      </c>
      <c r="G577" s="140">
        <f>IFERROR(VLOOKUP($A577,[4]P.O.!$A:$J,7,),"")</f>
        <v>0.70000000000000007</v>
      </c>
      <c r="H577" s="140">
        <f>IFERROR(VLOOKUP($A577,[4]P.O.!$A:$J,8,),"")</f>
        <v>0.88</v>
      </c>
      <c r="I577" s="140">
        <f>IFERROR(VLOOKUP($A577,[4]P.O.!$A:$J,9,),"")</f>
        <v>5.28</v>
      </c>
      <c r="J577" s="159">
        <f t="shared" si="60"/>
        <v>2.4845112369737734E-6</v>
      </c>
      <c r="K577" s="145">
        <f>IFERROR(VLOOKUP($A577,[4]P.O.!$A:$J,10,),"")</f>
        <v>0.25</v>
      </c>
      <c r="L577" s="265"/>
    </row>
    <row r="578" spans="1:12" s="232" customFormat="1">
      <c r="A578" s="76" t="s">
        <v>532</v>
      </c>
      <c r="B578" s="77" t="str">
        <f>IFERROR(VLOOKUP($A578,[4]P.O.!$A:$J,2,),"")</f>
        <v>COMPS30058</v>
      </c>
      <c r="C578" s="77" t="str">
        <f>IFERROR(VLOOKUP($A578,[4]P.O.!$A:$J,3,),"")</f>
        <v>COMPOSIÇÃO</v>
      </c>
      <c r="D578" s="78" t="str">
        <f>IFERROR(VLOOKUP($A578,[4]P.O.!$A:$J,4,),"")</f>
        <v>ESCAVAÇÃO E REATERRO DE VALAS PARA COLOCAÇÃO DA MALHA DE ATERRAMENTO</v>
      </c>
      <c r="E578" s="91" t="str">
        <f>IFERROR(VLOOKUP($A578,[4]P.O.!$A:$J,5,),"")</f>
        <v>M3</v>
      </c>
      <c r="F578" s="139">
        <f>IFERROR(VLOOKUP($A578,[4]P.O.!$A:$J,6,),"")</f>
        <v>15</v>
      </c>
      <c r="G578" s="140">
        <f>IFERROR(VLOOKUP($A578,[4]P.O.!$A:$J,7,),"")</f>
        <v>48.43</v>
      </c>
      <c r="H578" s="140">
        <f>IFERROR(VLOOKUP($A578,[4]P.O.!$A:$J,8,),"")</f>
        <v>60.54</v>
      </c>
      <c r="I578" s="140">
        <f>IFERROR(VLOOKUP($A578,[4]P.O.!$A:$J,9,),"")</f>
        <v>908.1</v>
      </c>
      <c r="J578" s="159">
        <f t="shared" si="60"/>
        <v>4.2730769967725069E-4</v>
      </c>
      <c r="K578" s="145">
        <f>IFERROR(VLOOKUP($A578,[4]P.O.!$A:$J,10,),"")</f>
        <v>0.25</v>
      </c>
      <c r="L578" s="265"/>
    </row>
    <row r="579" spans="1:12" s="232" customFormat="1">
      <c r="A579" s="76"/>
      <c r="B579" s="77"/>
      <c r="C579" s="77"/>
      <c r="D579" s="78"/>
      <c r="E579" s="91"/>
      <c r="F579" s="139"/>
      <c r="G579" s="140"/>
      <c r="H579" s="140"/>
      <c r="I579" s="140"/>
      <c r="J579" s="159"/>
      <c r="K579" s="141"/>
    </row>
    <row r="580" spans="1:12" s="232" customFormat="1">
      <c r="A580" s="76"/>
      <c r="B580" s="77"/>
      <c r="C580" s="77"/>
      <c r="D580" s="78"/>
      <c r="E580" s="91"/>
      <c r="F580" s="139"/>
      <c r="G580" s="140"/>
      <c r="H580" s="140"/>
      <c r="I580" s="140"/>
      <c r="J580" s="159"/>
      <c r="K580" s="141"/>
    </row>
    <row r="581" spans="1:12" s="228" customFormat="1">
      <c r="A581" s="5" t="s">
        <v>137</v>
      </c>
      <c r="B581" s="24"/>
      <c r="C581" s="24"/>
      <c r="D581" s="31" t="s">
        <v>6</v>
      </c>
      <c r="E581" s="127"/>
      <c r="F581" s="128"/>
      <c r="G581" s="129"/>
      <c r="H581" s="129"/>
      <c r="I581" s="129">
        <f>SUM(I582:I614)</f>
        <v>33425.49</v>
      </c>
      <c r="J581" s="227">
        <f>IF(I581="","",I581/$E$777)</f>
        <v>1.572841013377926E-2</v>
      </c>
      <c r="K581" s="130"/>
    </row>
    <row r="582" spans="1:12" s="228" customFormat="1">
      <c r="A582" s="73"/>
      <c r="B582" s="74"/>
      <c r="C582" s="74"/>
      <c r="D582" s="75"/>
      <c r="E582" s="131"/>
      <c r="F582" s="132"/>
      <c r="G582" s="133"/>
      <c r="H582" s="133"/>
      <c r="I582" s="133"/>
      <c r="J582" s="229"/>
      <c r="K582" s="134"/>
    </row>
    <row r="583" spans="1:12" s="250" customFormat="1">
      <c r="A583" s="95" t="s">
        <v>133</v>
      </c>
      <c r="B583" s="110"/>
      <c r="C583" s="110"/>
      <c r="D583" s="97" t="str">
        <f>IFERROR(VLOOKUP($A583,[5]P.O.!$A:$J,4,),"")</f>
        <v>CAIXAS</v>
      </c>
      <c r="E583" s="96"/>
      <c r="F583" s="163"/>
      <c r="G583" s="180"/>
      <c r="H583" s="180"/>
      <c r="I583" s="180"/>
      <c r="J583" s="165"/>
      <c r="K583" s="181"/>
    </row>
    <row r="584" spans="1:12" s="251" customFormat="1">
      <c r="A584" s="76" t="s">
        <v>134</v>
      </c>
      <c r="B584" s="77" t="str">
        <f>IFERROR(VLOOKUP($A584,[5]P.O.!$A:$J,2,),"")</f>
        <v>73861/014</v>
      </c>
      <c r="C584" s="77" t="str">
        <f>IFERROR(VLOOKUP($A584,[5]P.O.!$A:$J,3,),"")</f>
        <v>SINAPI SERVIÇO</v>
      </c>
      <c r="D584" s="78" t="str">
        <f>IFERROR(VLOOKUP($A584,[5]P.O.!$A:$J,4,),"")</f>
        <v>CONDULETE 3/4" EM LIGA DE ALUMÍNIO FUNDIDO TIPO "LL" - FORNECIMENTO E    INSTALACAO</v>
      </c>
      <c r="E584" s="91" t="str">
        <f>IFERROR(VLOOKUP($A584,[5]P.O.!$A:$J,5,),"")</f>
        <v>UN</v>
      </c>
      <c r="F584" s="139">
        <f>IFERROR(VLOOKUP($A584,[5]P.O.!$A:$J,6,),"")</f>
        <v>10</v>
      </c>
      <c r="G584" s="140">
        <f>IFERROR(VLOOKUP($A584,[5]P.O.!$A:$J,7,),"")</f>
        <v>13.89</v>
      </c>
      <c r="H584" s="140">
        <f>IFERROR(VLOOKUP($A584,[5]P.O.!$A:$J,8,),"")</f>
        <v>17.36</v>
      </c>
      <c r="I584" s="140">
        <f>IFERROR(VLOOKUP($A584,[5]P.O.!$A:$J,9,),"")</f>
        <v>173.6</v>
      </c>
      <c r="J584" s="159">
        <f>IF(I584="","",I584/$E$777)</f>
        <v>8.1687717942925575E-5</v>
      </c>
      <c r="K584" s="145">
        <f>IFERROR(VLOOKUP($A584,[5]P.O.!$A:$J,10,),"")</f>
        <v>0.25</v>
      </c>
      <c r="L584" s="265"/>
    </row>
    <row r="585" spans="1:12" s="251" customFormat="1">
      <c r="A585" s="76" t="s">
        <v>135</v>
      </c>
      <c r="B585" s="77">
        <f>IFERROR(VLOOKUP($A585,[5]P.O.!$A:$J,2,),"")</f>
        <v>83451</v>
      </c>
      <c r="C585" s="77" t="str">
        <f>IFERROR(VLOOKUP($A585,[5]P.O.!$A:$J,3,),"")</f>
        <v>SINAPI SERVIÇO</v>
      </c>
      <c r="D585" s="78" t="str">
        <f>IFERROR(VLOOKUP($A585,[5]P.O.!$A:$J,4,),"")</f>
        <v>CONDULETE EM LIGA DE ALUMINIO TIPO "LR" 3/4" - FORNECIMENTO E INSTALAC   AO</v>
      </c>
      <c r="E585" s="91" t="str">
        <f>IFERROR(VLOOKUP($A585,[5]P.O.!$A:$J,5,),"")</f>
        <v>UN</v>
      </c>
      <c r="F585" s="139">
        <f>IFERROR(VLOOKUP($A585,[5]P.O.!$A:$J,6,),"")</f>
        <v>1</v>
      </c>
      <c r="G585" s="140">
        <f>IFERROR(VLOOKUP($A585,[5]P.O.!$A:$J,7,),"")</f>
        <v>16.54</v>
      </c>
      <c r="H585" s="140">
        <f>IFERROR(VLOOKUP($A585,[5]P.O.!$A:$J,8,),"")</f>
        <v>20.68</v>
      </c>
      <c r="I585" s="140">
        <f>IFERROR(VLOOKUP($A585,[5]P.O.!$A:$J,9,),"")</f>
        <v>20.68</v>
      </c>
      <c r="J585" s="159">
        <f t="shared" ref="J585:J588" si="61">IF(I585="","",I585/$E$777)</f>
        <v>9.7310023448139458E-6</v>
      </c>
      <c r="K585" s="145">
        <f>IFERROR(VLOOKUP($A585,[5]P.O.!$A:$J,10,),"")</f>
        <v>0.25</v>
      </c>
      <c r="L585" s="265"/>
    </row>
    <row r="586" spans="1:12" s="251" customFormat="1">
      <c r="A586" s="76" t="s">
        <v>136</v>
      </c>
      <c r="B586" s="77" t="str">
        <f>IFERROR(VLOOKUP($A586,[5]P.O.!$A:$J,2,),"")</f>
        <v>73861/020</v>
      </c>
      <c r="C586" s="77" t="str">
        <f>IFERROR(VLOOKUP($A586,[5]P.O.!$A:$J,3,),"")</f>
        <v>SINAPI SERVIÇO</v>
      </c>
      <c r="D586" s="78" t="str">
        <f>IFERROR(VLOOKUP($A586,[5]P.O.!$A:$J,4,),"")</f>
        <v>CONDULETE 3/4" EM LIGA DE ALUMÍNIO FUNDIDO TIPO "T" - FORNECIMENTO E I   NSTALACAO</v>
      </c>
      <c r="E586" s="91" t="str">
        <f>IFERROR(VLOOKUP($A586,[5]P.O.!$A:$J,5,),"")</f>
        <v>UN</v>
      </c>
      <c r="F586" s="139">
        <f>IFERROR(VLOOKUP($A586,[5]P.O.!$A:$J,6,),"")</f>
        <v>4</v>
      </c>
      <c r="G586" s="140">
        <f>IFERROR(VLOOKUP($A586,[5]P.O.!$A:$J,7,),"")</f>
        <v>15.37</v>
      </c>
      <c r="H586" s="140">
        <f>IFERROR(VLOOKUP($A586,[5]P.O.!$A:$J,8,),"")</f>
        <v>19.21</v>
      </c>
      <c r="I586" s="140">
        <f>IFERROR(VLOOKUP($A586,[5]P.O.!$A:$J,9,),"")</f>
        <v>76.84</v>
      </c>
      <c r="J586" s="159">
        <f t="shared" si="61"/>
        <v>3.6157167319898631E-5</v>
      </c>
      <c r="K586" s="145">
        <f>IFERROR(VLOOKUP($A586,[5]P.O.!$A:$J,10,),"")</f>
        <v>0.25</v>
      </c>
      <c r="L586" s="265"/>
    </row>
    <row r="587" spans="1:12" s="251" customFormat="1">
      <c r="A587" s="76" t="s">
        <v>533</v>
      </c>
      <c r="B587" s="77" t="str">
        <f>IFERROR(VLOOKUP($A587,[5]P.O.!$A:$J,2,),"")</f>
        <v>73861/008</v>
      </c>
      <c r="C587" s="77" t="str">
        <f>IFERROR(VLOOKUP($A587,[5]P.O.!$A:$J,3,),"")</f>
        <v>SINAPI SERVIÇO</v>
      </c>
      <c r="D587" s="78" t="str">
        <f>IFERROR(VLOOKUP($A587,[5]P.O.!$A:$J,4,),"")</f>
        <v>CONDULETE 3/4" EM LIGA DE ALUMÍNIO FUNDIDO TIPO "E" - FORNECIMENTO E I   NSTALACAO</v>
      </c>
      <c r="E587" s="91" t="str">
        <f>IFERROR(VLOOKUP($A587,[5]P.O.!$A:$J,5,),"")</f>
        <v>UN</v>
      </c>
      <c r="F587" s="139">
        <f>IFERROR(VLOOKUP($A587,[5]P.O.!$A:$J,6,),"")</f>
        <v>1</v>
      </c>
      <c r="G587" s="140">
        <f>IFERROR(VLOOKUP($A587,[5]P.O.!$A:$J,7,),"")</f>
        <v>12.39</v>
      </c>
      <c r="H587" s="140">
        <f>IFERROR(VLOOKUP($A587,[5]P.O.!$A:$J,8,),"")</f>
        <v>15.49</v>
      </c>
      <c r="I587" s="140">
        <f>IFERROR(VLOOKUP($A587,[5]P.O.!$A:$J,9,),"")</f>
        <v>15.49</v>
      </c>
      <c r="J587" s="159">
        <f t="shared" si="61"/>
        <v>7.2888407311976806E-6</v>
      </c>
      <c r="K587" s="145">
        <f>IFERROR(VLOOKUP($A587,[5]P.O.!$A:$J,10,),"")</f>
        <v>0.25</v>
      </c>
      <c r="L587" s="265"/>
    </row>
    <row r="588" spans="1:12" s="251" customFormat="1">
      <c r="A588" s="76" t="s">
        <v>534</v>
      </c>
      <c r="B588" s="77" t="str">
        <f>IFERROR(VLOOKUP($A588,[5]P.O.!$A:$J,2,),"")</f>
        <v>73861/005</v>
      </c>
      <c r="C588" s="77" t="str">
        <f>IFERROR(VLOOKUP($A588,[5]P.O.!$A:$J,3,),"")</f>
        <v>SINAPI SERVIÇO</v>
      </c>
      <c r="D588" s="78" t="str">
        <f>IFERROR(VLOOKUP($A588,[5]P.O.!$A:$J,4,),"")</f>
        <v>CONDULETE 3/4" EM LIGA DE ALUMÍNIO FUNDIDO TIPO "C" - FORNECIMENTO E    INSTALACAO</v>
      </c>
      <c r="E588" s="91" t="str">
        <f>IFERROR(VLOOKUP($A588,[5]P.O.!$A:$J,5,),"")</f>
        <v>UN</v>
      </c>
      <c r="F588" s="139">
        <f>IFERROR(VLOOKUP($A588,[5]P.O.!$A:$J,6,),"")</f>
        <v>1</v>
      </c>
      <c r="G588" s="140">
        <f>IFERROR(VLOOKUP($A588,[5]P.O.!$A:$J,7,),"")</f>
        <v>13.84</v>
      </c>
      <c r="H588" s="140">
        <f>IFERROR(VLOOKUP($A588,[5]P.O.!$A:$J,8,),"")</f>
        <v>17.3</v>
      </c>
      <c r="I588" s="140">
        <f>IFERROR(VLOOKUP($A588,[5]P.O.!$A:$J,9,),"")</f>
        <v>17.3</v>
      </c>
      <c r="J588" s="159">
        <f t="shared" si="61"/>
        <v>8.1405387120542203E-6</v>
      </c>
      <c r="K588" s="145">
        <f>IFERROR(VLOOKUP($A588,[5]P.O.!$A:$J,10,),"")</f>
        <v>0.25</v>
      </c>
      <c r="L588" s="265"/>
    </row>
    <row r="589" spans="1:12" s="250" customFormat="1">
      <c r="A589" s="76"/>
      <c r="B589" s="77"/>
      <c r="C589" s="77"/>
      <c r="D589" s="78"/>
      <c r="E589" s="91"/>
      <c r="F589" s="139"/>
      <c r="G589" s="140"/>
      <c r="H589" s="140"/>
      <c r="I589" s="140"/>
      <c r="J589" s="159"/>
      <c r="K589" s="141"/>
    </row>
    <row r="590" spans="1:12" s="250" customFormat="1">
      <c r="A590" s="95" t="s">
        <v>535</v>
      </c>
      <c r="B590" s="110"/>
      <c r="C590" s="110"/>
      <c r="D590" s="97" t="str">
        <f>IFERROR(VLOOKUP($A590,[5]P.O.!$A:$J,4,),"")</f>
        <v>ELETRODUTOS</v>
      </c>
      <c r="E590" s="96"/>
      <c r="F590" s="163"/>
      <c r="G590" s="180"/>
      <c r="H590" s="180"/>
      <c r="I590" s="180"/>
      <c r="J590" s="165"/>
      <c r="K590" s="181"/>
    </row>
    <row r="591" spans="1:12" s="251" customFormat="1" ht="49.5">
      <c r="A591" s="76" t="s">
        <v>536</v>
      </c>
      <c r="B591" s="77" t="str">
        <f>IFERROR(VLOOKUP($A591,[5]P.O.!$A:$J,2,),"")</f>
        <v>COMPS33101</v>
      </c>
      <c r="C591" s="77" t="str">
        <f>IFERROR(VLOOKUP($A591,[5]P.O.!$A:$J,3,),"")</f>
        <v>COMPOSIÇÃO</v>
      </c>
      <c r="D591" s="78" t="str">
        <f>IFERROR(VLOOKUP($A591,[5]P.O.!$A:$J,4,),"")</f>
        <v>FORNECIMENTO E INSTALAÇÃO DE ELETRODUTO  LEVE, Ø3/4" , GALVANIZADO A FOGO; ROSCADO NAS DUAS EXTREMIDADES CONFORME NORMA NBR NM ISO 7-1; FABRICANTE: APOLO OU EQUIVALENTE TECNICO; INCLUSIVE CONEXÕES</v>
      </c>
      <c r="E591" s="91" t="str">
        <f>IFERROR(VLOOKUP($A591,[5]P.O.!$A:$J,5,),"")</f>
        <v>UND</v>
      </c>
      <c r="F591" s="139">
        <f>IFERROR(VLOOKUP($A591,[5]P.O.!$A:$J,6,),"")</f>
        <v>18</v>
      </c>
      <c r="G591" s="140">
        <f>IFERROR(VLOOKUP($A591,[5]P.O.!$A:$J,7,),"")</f>
        <v>58.26</v>
      </c>
      <c r="H591" s="140">
        <f>IFERROR(VLOOKUP($A591,[5]P.O.!$A:$J,8,),"")</f>
        <v>72.83</v>
      </c>
      <c r="I591" s="140">
        <f>IFERROR(VLOOKUP($A591,[5]P.O.!$A:$J,9,),"")</f>
        <v>1310.94</v>
      </c>
      <c r="J591" s="159">
        <f t="shared" ref="J591:J596" si="62">IF(I591="","",I591/$E$777)</f>
        <v>6.1686461382545429E-4</v>
      </c>
      <c r="K591" s="145">
        <f>IFERROR(VLOOKUP($A591,[5]P.O.!$A:$J,10,),"")</f>
        <v>0.25</v>
      </c>
      <c r="L591" s="265"/>
    </row>
    <row r="592" spans="1:12" s="251" customFormat="1" ht="49.5">
      <c r="A592" s="76" t="s">
        <v>537</v>
      </c>
      <c r="B592" s="77" t="str">
        <f>IFERROR(VLOOKUP($A592,[5]P.O.!$A:$J,2,),"")</f>
        <v>COMPS33102</v>
      </c>
      <c r="C592" s="77" t="str">
        <f>IFERROR(VLOOKUP($A592,[5]P.O.!$A:$J,3,),"")</f>
        <v>COMPOSIÇÃO</v>
      </c>
      <c r="D592" s="78" t="str">
        <f>IFERROR(VLOOKUP($A592,[5]P.O.!$A:$J,4,),"")</f>
        <v>FORNECIMENTO E INSTALAÇÃO DE ELETRODUTO  LEVE, Ø1" , GALVANIZADO A FOGO; ROSCADO NAS DUAS EXTREMIDADES CONFORME NORMA NBR NM ISO 7-1; FABRICANTE: APOLO OU EQUIVALENTE TECNICO; INCLUSIVE CONEXÕES</v>
      </c>
      <c r="E592" s="91" t="str">
        <f>IFERROR(VLOOKUP($A592,[5]P.O.!$A:$J,5,),"")</f>
        <v>UND</v>
      </c>
      <c r="F592" s="139">
        <f>IFERROR(VLOOKUP($A592,[5]P.O.!$A:$J,6,),"")</f>
        <v>4</v>
      </c>
      <c r="G592" s="140">
        <f>IFERROR(VLOOKUP($A592,[5]P.O.!$A:$J,7,),"")</f>
        <v>61.35</v>
      </c>
      <c r="H592" s="140">
        <f>IFERROR(VLOOKUP($A592,[5]P.O.!$A:$J,8,),"")</f>
        <v>76.69</v>
      </c>
      <c r="I592" s="140">
        <f>IFERROR(VLOOKUP($A592,[5]P.O.!$A:$J,9,),"")</f>
        <v>306.76</v>
      </c>
      <c r="J592" s="159">
        <f t="shared" si="62"/>
        <v>1.4434633845721113E-4</v>
      </c>
      <c r="K592" s="145">
        <f>IFERROR(VLOOKUP($A592,[5]P.O.!$A:$J,10,),"")</f>
        <v>0.25</v>
      </c>
      <c r="L592" s="265"/>
    </row>
    <row r="593" spans="1:12" s="251" customFormat="1" ht="49.5">
      <c r="A593" s="76" t="s">
        <v>538</v>
      </c>
      <c r="B593" s="77" t="str">
        <f>IFERROR(VLOOKUP($A593,[5]P.O.!$A:$J,2,),"")</f>
        <v>COMPS33103</v>
      </c>
      <c r="C593" s="77" t="str">
        <f>IFERROR(VLOOKUP($A593,[5]P.O.!$A:$J,3,),"")</f>
        <v>COMPOSIÇÃO</v>
      </c>
      <c r="D593" s="78" t="str">
        <f>IFERROR(VLOOKUP($A593,[5]P.O.!$A:$J,4,),"")</f>
        <v>FORNECIMENTO E INSTALAÇÃO DE ELETRODUTO  LEVE, Ø1.1/4" , GALVANIZADO A FOGO; ROSCADO NAS DUAS EXTREMIDADES CONFORME NORMA NBR NM ISO 7-1; FABRICANTE: APOLO OU EQUIVALENTE TECNICO; INCLUSIVE CONEXÕES</v>
      </c>
      <c r="E593" s="91" t="str">
        <f>IFERROR(VLOOKUP($A593,[5]P.O.!$A:$J,5,),"")</f>
        <v>UND</v>
      </c>
      <c r="F593" s="139">
        <f>IFERROR(VLOOKUP($A593,[5]P.O.!$A:$J,6,),"")</f>
        <v>3.8566666666666669</v>
      </c>
      <c r="G593" s="140">
        <f>IFERROR(VLOOKUP($A593,[5]P.O.!$A:$J,7,),"")</f>
        <v>71.610000000000014</v>
      </c>
      <c r="H593" s="140">
        <f>IFERROR(VLOOKUP($A593,[5]P.O.!$A:$J,8,),"")</f>
        <v>89.51</v>
      </c>
      <c r="I593" s="140">
        <f>IFERROR(VLOOKUP($A593,[5]P.O.!$A:$J,9,),"")</f>
        <v>345.21</v>
      </c>
      <c r="J593" s="159">
        <f t="shared" si="62"/>
        <v>1.624390386582796E-4</v>
      </c>
      <c r="K593" s="145">
        <f>IFERROR(VLOOKUP($A593,[5]P.O.!$A:$J,10,),"")</f>
        <v>0.25</v>
      </c>
      <c r="L593" s="265"/>
    </row>
    <row r="594" spans="1:12" s="251" customFormat="1" ht="33">
      <c r="A594" s="76" t="s">
        <v>539</v>
      </c>
      <c r="B594" s="77" t="str">
        <f>IFERROR(VLOOKUP($A594,[5]P.O.!$A:$J,2,),"")</f>
        <v>COMPS33104</v>
      </c>
      <c r="C594" s="77" t="str">
        <f>IFERROR(VLOOKUP($A594,[5]P.O.!$A:$J,3,),"")</f>
        <v>COMPOSIÇÃO</v>
      </c>
      <c r="D594" s="78" t="str">
        <f>IFERROR(VLOOKUP($A594,[5]P.O.!$A:$J,4,),"")</f>
        <v>FORNECIMENTO E INSTALAÇÃO DE ABRAÇADEIRA METÁLICA, TIPO D C/ CUNHA PARA Ø3/4"; FABRICANTE: MAXTIL OU EQUIVALENTE TECNICO - REF: MAX AA.TDC. OU EQUIVALENTE TECNICO</v>
      </c>
      <c r="E594" s="91" t="str">
        <f>IFERROR(VLOOKUP($A594,[5]P.O.!$A:$J,5,),"")</f>
        <v>UND</v>
      </c>
      <c r="F594" s="139">
        <f>IFERROR(VLOOKUP($A594,[5]P.O.!$A:$J,6,),"")</f>
        <v>34</v>
      </c>
      <c r="G594" s="140">
        <f>IFERROR(VLOOKUP($A594,[5]P.O.!$A:$J,7,),"")</f>
        <v>3.28</v>
      </c>
      <c r="H594" s="140">
        <f>IFERROR(VLOOKUP($A594,[5]P.O.!$A:$J,8,),"")</f>
        <v>4.0999999999999996</v>
      </c>
      <c r="I594" s="140">
        <f>IFERROR(VLOOKUP($A594,[5]P.O.!$A:$J,9,),"")</f>
        <v>139.4</v>
      </c>
      <c r="J594" s="159">
        <f t="shared" si="62"/>
        <v>6.5594861067072729E-5</v>
      </c>
      <c r="K594" s="145">
        <f>IFERROR(VLOOKUP($A594,[5]P.O.!$A:$J,10,),"")</f>
        <v>0.25</v>
      </c>
      <c r="L594" s="265"/>
    </row>
    <row r="595" spans="1:12" s="251" customFormat="1" ht="33">
      <c r="A595" s="76" t="s">
        <v>540</v>
      </c>
      <c r="B595" s="77" t="str">
        <f>IFERROR(VLOOKUP($A595,[5]P.O.!$A:$J,2,),"")</f>
        <v>COMPS33105</v>
      </c>
      <c r="C595" s="77" t="str">
        <f>IFERROR(VLOOKUP($A595,[5]P.O.!$A:$J,3,),"")</f>
        <v>COMPOSIÇÃO</v>
      </c>
      <c r="D595" s="78" t="str">
        <f>IFERROR(VLOOKUP($A595,[5]P.O.!$A:$J,4,),"")</f>
        <v>FORNECIMENTO E INSTALAÇÃO DE ABRAÇADEIRA METÁLICA, TIPO D C/ CUNHA PARA Ø1"; FABRICANTE: MAXTIL OU EQUIVALENTE TECNICO - REF: MAX AA.TDC.</v>
      </c>
      <c r="E595" s="91" t="str">
        <f>IFERROR(VLOOKUP($A595,[5]P.O.!$A:$J,5,),"")</f>
        <v>UND</v>
      </c>
      <c r="F595" s="139">
        <f>IFERROR(VLOOKUP($A595,[5]P.O.!$A:$J,6,),"")</f>
        <v>8</v>
      </c>
      <c r="G595" s="140">
        <f>IFERROR(VLOOKUP($A595,[5]P.O.!$A:$J,7,),"")</f>
        <v>4.3</v>
      </c>
      <c r="H595" s="140">
        <f>IFERROR(VLOOKUP($A595,[5]P.O.!$A:$J,8,),"")</f>
        <v>5.38</v>
      </c>
      <c r="I595" s="140">
        <f>IFERROR(VLOOKUP($A595,[5]P.O.!$A:$J,9,),"")</f>
        <v>43.04</v>
      </c>
      <c r="J595" s="159">
        <f t="shared" si="62"/>
        <v>2.0252530992301366E-5</v>
      </c>
      <c r="K595" s="145">
        <f>IFERROR(VLOOKUP($A595,[5]P.O.!$A:$J,10,),"")</f>
        <v>0.25</v>
      </c>
      <c r="L595" s="265"/>
    </row>
    <row r="596" spans="1:12" s="251" customFormat="1" ht="33">
      <c r="A596" s="76" t="s">
        <v>541</v>
      </c>
      <c r="B596" s="77" t="str">
        <f>IFERROR(VLOOKUP($A596,[5]P.O.!$A:$J,2,),"")</f>
        <v>COMPS33106</v>
      </c>
      <c r="C596" s="77" t="str">
        <f>IFERROR(VLOOKUP($A596,[5]P.O.!$A:$J,3,),"")</f>
        <v>COMPOSIÇÃO</v>
      </c>
      <c r="D596" s="78" t="str">
        <f>IFERROR(VLOOKUP($A596,[5]P.O.!$A:$J,4,),"")</f>
        <v>FORNECIMENTO E INSTALAÇÃO DE ABRAÇADEIRA METÁLICA, TIPO D C/ CUNHA PARA Ø1.1/2"; FABRICANTE: MAXTIL OU EQUIVALENTE TECNICO - REF: MAX AA.TDC.</v>
      </c>
      <c r="E596" s="91" t="str">
        <f>IFERROR(VLOOKUP($A596,[5]P.O.!$A:$J,5,),"")</f>
        <v>UND</v>
      </c>
      <c r="F596" s="139">
        <f>IFERROR(VLOOKUP($A596,[5]P.O.!$A:$J,6,),"")</f>
        <v>9</v>
      </c>
      <c r="G596" s="140">
        <f>IFERROR(VLOOKUP($A596,[5]P.O.!$A:$J,7,),"")</f>
        <v>3.96</v>
      </c>
      <c r="H596" s="140">
        <f>IFERROR(VLOOKUP($A596,[5]P.O.!$A:$J,8,),"")</f>
        <v>4.95</v>
      </c>
      <c r="I596" s="140">
        <f>IFERROR(VLOOKUP($A596,[5]P.O.!$A:$J,9,),"")</f>
        <v>44.55</v>
      </c>
      <c r="J596" s="159">
        <f t="shared" si="62"/>
        <v>2.0963063561966213E-5</v>
      </c>
      <c r="K596" s="145">
        <f>IFERROR(VLOOKUP($A596,[5]P.O.!$A:$J,10,),"")</f>
        <v>0.25</v>
      </c>
      <c r="L596" s="265"/>
    </row>
    <row r="597" spans="1:12" s="251" customFormat="1">
      <c r="A597" s="76"/>
      <c r="B597" s="77"/>
      <c r="C597" s="77"/>
      <c r="D597" s="78"/>
      <c r="E597" s="91"/>
      <c r="F597" s="139"/>
      <c r="G597" s="140"/>
      <c r="H597" s="140"/>
      <c r="I597" s="140"/>
      <c r="J597" s="159"/>
      <c r="K597" s="141"/>
    </row>
    <row r="598" spans="1:12" s="250" customFormat="1">
      <c r="A598" s="95" t="s">
        <v>542</v>
      </c>
      <c r="B598" s="110"/>
      <c r="C598" s="110"/>
      <c r="D598" s="97" t="str">
        <f>IFERROR(VLOOKUP($A598,[5]P.O.!$A:$J,4,),"")</f>
        <v>FIXAÇÃO</v>
      </c>
      <c r="E598" s="96"/>
      <c r="F598" s="163"/>
      <c r="G598" s="180"/>
      <c r="H598" s="180"/>
      <c r="I598" s="180"/>
      <c r="J598" s="165"/>
      <c r="K598" s="181"/>
    </row>
    <row r="599" spans="1:12" s="251" customFormat="1" ht="33">
      <c r="A599" s="76" t="s">
        <v>543</v>
      </c>
      <c r="B599" s="77" t="str">
        <f>IFERROR(VLOOKUP($A599,[5]P.O.!$A:$J,2,),"")</f>
        <v>COMPS33107</v>
      </c>
      <c r="C599" s="77" t="str">
        <f>IFERROR(VLOOKUP($A599,[5]P.O.!$A:$J,3,),"")</f>
        <v>COMPOSIÇÃO</v>
      </c>
      <c r="D599" s="78" t="str">
        <f>IFERROR(VLOOKUP($A599,[5]P.O.!$A:$J,4,),"")</f>
        <v>FORNECIMENTO E INSTALAÇÃO DE PARAFUSO CABEÇA LENTILHA COM FENDA Ø1/4" X 5/8";   FABRICANTE: MAXTIL OU EQUIVALENTE TÉCNICO. REF: MAX AF.PCL.</v>
      </c>
      <c r="E599" s="91" t="str">
        <f>IFERROR(VLOOKUP($A599,[5]P.O.!$A:$J,5,),"")</f>
        <v>UND</v>
      </c>
      <c r="F599" s="139">
        <f>IFERROR(VLOOKUP($A599,[5]P.O.!$A:$J,6,),"")</f>
        <v>55</v>
      </c>
      <c r="G599" s="140">
        <f>IFERROR(VLOOKUP($A599,[5]P.O.!$A:$J,7,),"")</f>
        <v>2.82</v>
      </c>
      <c r="H599" s="140">
        <f>IFERROR(VLOOKUP($A599,[5]P.O.!$A:$J,8,),"")</f>
        <v>3.53</v>
      </c>
      <c r="I599" s="140">
        <f>IFERROR(VLOOKUP($A599,[5]P.O.!$A:$J,9,),"")</f>
        <v>194.15</v>
      </c>
      <c r="J599" s="159">
        <f t="shared" ref="J599:J601" si="63">IF(I599="","",I599/$E$777)</f>
        <v>9.1357548609556465E-5</v>
      </c>
      <c r="K599" s="145">
        <f>IFERROR(VLOOKUP($A599,[5]P.O.!$A:$J,10,),"")</f>
        <v>0.25</v>
      </c>
      <c r="L599" s="265"/>
    </row>
    <row r="600" spans="1:12" s="251" customFormat="1" ht="33">
      <c r="A600" s="76" t="s">
        <v>544</v>
      </c>
      <c r="B600" s="77" t="str">
        <f>IFERROR(VLOOKUP($A600,[5]P.O.!$A:$J,2,),"")</f>
        <v>COMPS33108</v>
      </c>
      <c r="C600" s="77" t="str">
        <f>IFERROR(VLOOKUP($A600,[5]P.O.!$A:$J,3,),"")</f>
        <v>COMPOSIÇÃO</v>
      </c>
      <c r="D600" s="78" t="str">
        <f>IFERROR(VLOOKUP($A600,[5]P.O.!$A:$J,4,),"")</f>
        <v>FORNECIMENTO E INSTALAÇÃO DE PORCA SEXTAVADO Ø1/4"; FABRICANTE: MAXTIL OU EQUIVALENTE TÉCNICO. REF: MAX AF.PS.</v>
      </c>
      <c r="E600" s="91" t="str">
        <f>IFERROR(VLOOKUP($A600,[5]P.O.!$A:$J,5,),"")</f>
        <v>UND</v>
      </c>
      <c r="F600" s="139">
        <f>IFERROR(VLOOKUP($A600,[5]P.O.!$A:$J,6,),"")</f>
        <v>55</v>
      </c>
      <c r="G600" s="140">
        <f>IFERROR(VLOOKUP($A600,[5]P.O.!$A:$J,7,),"")</f>
        <v>0.2</v>
      </c>
      <c r="H600" s="140">
        <f>IFERROR(VLOOKUP($A600,[5]P.O.!$A:$J,8,),"")</f>
        <v>0.25</v>
      </c>
      <c r="I600" s="140">
        <f>IFERROR(VLOOKUP($A600,[5]P.O.!$A:$J,9,),"")</f>
        <v>13.75</v>
      </c>
      <c r="J600" s="159">
        <f t="shared" si="63"/>
        <v>6.4700813462858685E-6</v>
      </c>
      <c r="K600" s="145">
        <f>IFERROR(VLOOKUP($A600,[5]P.O.!$A:$J,10,),"")</f>
        <v>0.25</v>
      </c>
      <c r="L600" s="265"/>
    </row>
    <row r="601" spans="1:12" s="251" customFormat="1" ht="33">
      <c r="A601" s="76" t="s">
        <v>545</v>
      </c>
      <c r="B601" s="77" t="str">
        <f>IFERROR(VLOOKUP($A601,[5]P.O.!$A:$J,2,),"")</f>
        <v>COMPS33109</v>
      </c>
      <c r="C601" s="77" t="str">
        <f>IFERROR(VLOOKUP($A601,[5]P.O.!$A:$J,3,),"")</f>
        <v>COMPOSIÇÃO</v>
      </c>
      <c r="D601" s="78" t="str">
        <f>IFERROR(VLOOKUP($A601,[5]P.O.!$A:$J,4,),"")</f>
        <v>FORNECIMENTO E INSTALAÇÃO DE ARRUELA LISA Ø1/4 ";  FABRICANTE: MAXTIL OU EQUIVALENTE TÉCNICO. REF: MAX AF.AL.</v>
      </c>
      <c r="E601" s="91" t="str">
        <f>IFERROR(VLOOKUP($A601,[5]P.O.!$A:$J,5,),"")</f>
        <v>UND</v>
      </c>
      <c r="F601" s="139">
        <f>IFERROR(VLOOKUP($A601,[5]P.O.!$A:$J,6,),"")</f>
        <v>55</v>
      </c>
      <c r="G601" s="140">
        <f>IFERROR(VLOOKUP($A601,[5]P.O.!$A:$J,7,),"")</f>
        <v>0.29000000000000004</v>
      </c>
      <c r="H601" s="140">
        <f>IFERROR(VLOOKUP($A601,[5]P.O.!$A:$J,8,),"")</f>
        <v>0.36</v>
      </c>
      <c r="I601" s="140">
        <f>IFERROR(VLOOKUP($A601,[5]P.O.!$A:$J,9,),"")</f>
        <v>19.8</v>
      </c>
      <c r="J601" s="159">
        <f t="shared" si="63"/>
        <v>9.3169171386516502E-6</v>
      </c>
      <c r="K601" s="145">
        <f>IFERROR(VLOOKUP($A601,[5]P.O.!$A:$J,10,),"")</f>
        <v>0.25</v>
      </c>
      <c r="L601" s="265"/>
    </row>
    <row r="602" spans="1:12" s="250" customFormat="1">
      <c r="A602" s="76"/>
      <c r="B602" s="77"/>
      <c r="C602" s="77"/>
      <c r="D602" s="78"/>
      <c r="E602" s="91"/>
      <c r="F602" s="139"/>
      <c r="G602" s="140"/>
      <c r="H602" s="140"/>
      <c r="I602" s="140"/>
      <c r="J602" s="159"/>
      <c r="K602" s="141"/>
    </row>
    <row r="603" spans="1:12" s="250" customFormat="1">
      <c r="A603" s="95" t="s">
        <v>546</v>
      </c>
      <c r="B603" s="110"/>
      <c r="C603" s="110"/>
      <c r="D603" s="97" t="str">
        <f>IFERROR(VLOOKUP($A603,[5]P.O.!$A:$J,4,),"")</f>
        <v>CABOS</v>
      </c>
      <c r="E603" s="96"/>
      <c r="F603" s="163"/>
      <c r="G603" s="180"/>
      <c r="H603" s="180"/>
      <c r="I603" s="180"/>
      <c r="J603" s="165"/>
      <c r="K603" s="181"/>
    </row>
    <row r="604" spans="1:12" s="251" customFormat="1" ht="33">
      <c r="A604" s="76" t="s">
        <v>547</v>
      </c>
      <c r="B604" s="77" t="str">
        <f>IFERROR(VLOOKUP($A604,[5]P.O.!$A:$J,2,),"")</f>
        <v>COMPS33110</v>
      </c>
      <c r="C604" s="77" t="str">
        <f>IFERROR(VLOOKUP($A604,[5]P.O.!$A:$J,3,),"")</f>
        <v>COMPOSIÇÃO</v>
      </c>
      <c r="D604" s="78" t="str">
        <f>IFERROR(VLOOKUP($A604,[5]P.O.!$A:$J,4,),"")</f>
        <v>FORNECIMENTO E INSTALAÇÃO DE CABO UTP, CATEG 6, COR AZUL, FAST-LAN,CAIXA COM 305 METROS FAB.; FURUKAWA OU EQUIVALENTE TÉCNICO.</v>
      </c>
      <c r="E604" s="91" t="str">
        <f>IFERROR(VLOOKUP($A604,[5]P.O.!$A:$J,5,),"")</f>
        <v>M</v>
      </c>
      <c r="F604" s="139">
        <f>IFERROR(VLOOKUP($A604,[5]P.O.!$A:$J,6,),"")</f>
        <v>86</v>
      </c>
      <c r="G604" s="140">
        <f>IFERROR(VLOOKUP($A604,[5]P.O.!$A:$J,7,),"")</f>
        <v>6.81</v>
      </c>
      <c r="H604" s="140">
        <f>IFERROR(VLOOKUP($A604,[5]P.O.!$A:$J,8,),"")</f>
        <v>8.51</v>
      </c>
      <c r="I604" s="140">
        <f>IFERROR(VLOOKUP($A604,[5]P.O.!$A:$J,9,),"")</f>
        <v>731.86</v>
      </c>
      <c r="J604" s="159">
        <f>IF(I604="","",I604/$E$777)</f>
        <v>3.4437772611583823E-4</v>
      </c>
      <c r="K604" s="145">
        <f>IFERROR(VLOOKUP($A604,[5]P.O.!$A:$J,10,),"")</f>
        <v>0.25</v>
      </c>
      <c r="L604" s="265"/>
    </row>
    <row r="605" spans="1:12" s="251" customFormat="1">
      <c r="A605" s="76"/>
      <c r="B605" s="77"/>
      <c r="C605" s="77"/>
      <c r="D605" s="78"/>
      <c r="E605" s="91"/>
      <c r="F605" s="139"/>
      <c r="G605" s="140"/>
      <c r="H605" s="140"/>
      <c r="I605" s="140"/>
      <c r="J605" s="159"/>
      <c r="K605" s="141"/>
    </row>
    <row r="606" spans="1:12" s="250" customFormat="1">
      <c r="A606" s="95" t="s">
        <v>548</v>
      </c>
      <c r="B606" s="110"/>
      <c r="C606" s="110"/>
      <c r="D606" s="97" t="str">
        <f>IFERROR(VLOOKUP($A606,[5]P.O.!$A:$J,4,),"")</f>
        <v>CAMERAS</v>
      </c>
      <c r="E606" s="96"/>
      <c r="F606" s="163"/>
      <c r="G606" s="180"/>
      <c r="H606" s="180"/>
      <c r="I606" s="180"/>
      <c r="J606" s="165"/>
      <c r="K606" s="181"/>
    </row>
    <row r="607" spans="1:12" s="251" customFormat="1" ht="33">
      <c r="A607" s="76" t="s">
        <v>549</v>
      </c>
      <c r="B607" s="77" t="str">
        <f>IFERROR(VLOOKUP($A607,[5]P.O.!$A:$J,2,),"")</f>
        <v>COMPS33111</v>
      </c>
      <c r="C607" s="77" t="str">
        <f>IFERROR(VLOOKUP($A607,[5]P.O.!$A:$J,3,),"")</f>
        <v>COMPOSIÇÃO</v>
      </c>
      <c r="D607" s="78" t="str">
        <f>IFERROR(VLOOKUP($A607,[5]P.O.!$A:$J,4,),"")</f>
        <v>FORNECIMENTO E INSTALAÇÃO DE CÂMERA IP 3.0MP TIPO DOME - LENTE 2,8MM - POE - IR CUT  - MOD. THK-IDM30 - FABR. TECVOZ. OU EQUIVALENTE TÉCNICO.</v>
      </c>
      <c r="E607" s="91" t="str">
        <f>IFERROR(VLOOKUP($A607,[5]P.O.!$A:$J,5,),"")</f>
        <v>UND</v>
      </c>
      <c r="F607" s="139">
        <f>IFERROR(VLOOKUP($A607,[5]P.O.!$A:$J,6,),"")</f>
        <v>9</v>
      </c>
      <c r="G607" s="140">
        <f>IFERROR(VLOOKUP($A607,[5]P.O.!$A:$J,7,),"")</f>
        <v>1122.0999999999999</v>
      </c>
      <c r="H607" s="140">
        <f>IFERROR(VLOOKUP($A607,[5]P.O.!$A:$J,8,),"")</f>
        <v>1402.63</v>
      </c>
      <c r="I607" s="140">
        <f>IFERROR(VLOOKUP($A607,[5]P.O.!$A:$J,9,),"")</f>
        <v>12623.67</v>
      </c>
      <c r="J607" s="159">
        <f t="shared" ref="J607:J609" si="64">IF(I607="","",I607/$E$777)</f>
        <v>5.9400852209940749E-3</v>
      </c>
      <c r="K607" s="145">
        <f>IFERROR(VLOOKUP($A607,[5]P.O.!$A:$J,10,),"")</f>
        <v>0.25</v>
      </c>
      <c r="L607" s="265"/>
    </row>
    <row r="608" spans="1:12" s="251" customFormat="1" ht="33">
      <c r="A608" s="76" t="s">
        <v>550</v>
      </c>
      <c r="B608" s="77" t="str">
        <f>IFERROR(VLOOKUP($A608,[5]P.O.!$A:$J,2,),"")</f>
        <v>COMPS33113</v>
      </c>
      <c r="C608" s="77" t="str">
        <f>IFERROR(VLOOKUP($A608,[5]P.O.!$A:$J,3,),"")</f>
        <v>COMPOSIÇÃO</v>
      </c>
      <c r="D608" s="78" t="str">
        <f>IFERROR(VLOOKUP($A608,[5]P.O.!$A:$J,4,),"")</f>
        <v>FORNECIMENTO E INSTALAÇÃO DE CÂMERA SPEED DOME IP 2.0MP IP66-PTZ 20X16-3D DNR-D-WDR-BLC-ONVIF. OU EQUIVALENTE TÉCNICO.</v>
      </c>
      <c r="E608" s="91" t="str">
        <f>IFERROR(VLOOKUP($A608,[5]P.O.!$A:$J,5,),"")</f>
        <v>UND</v>
      </c>
      <c r="F608" s="139">
        <f>IFERROR(VLOOKUP($A608,[5]P.O.!$A:$J,6,),"")</f>
        <v>2</v>
      </c>
      <c r="G608" s="140">
        <f>IFERROR(VLOOKUP($A608,[5]P.O.!$A:$J,7,),"")</f>
        <v>5857.1500000000005</v>
      </c>
      <c r="H608" s="140">
        <f>IFERROR(VLOOKUP($A608,[5]P.O.!$A:$J,8,),"")</f>
        <v>7321.44</v>
      </c>
      <c r="I608" s="140">
        <f>IFERROR(VLOOKUP($A608,[5]P.O.!$A:$J,9,),"")</f>
        <v>14642.88</v>
      </c>
      <c r="J608" s="159">
        <f t="shared" si="64"/>
        <v>6.8902272541019934E-3</v>
      </c>
      <c r="K608" s="145">
        <f>IFERROR(VLOOKUP($A608,[5]P.O.!$A:$J,10,),"")</f>
        <v>0.25</v>
      </c>
      <c r="L608" s="265"/>
    </row>
    <row r="609" spans="1:12" s="251" customFormat="1" ht="33">
      <c r="A609" s="76" t="s">
        <v>551</v>
      </c>
      <c r="B609" s="77" t="str">
        <f>IFERROR(VLOOKUP($A609,[5]P.O.!$A:$J,2,),"")</f>
        <v>COMPS33114</v>
      </c>
      <c r="C609" s="77" t="str">
        <f>IFERROR(VLOOKUP($A609,[5]P.O.!$A:$J,3,),"")</f>
        <v>COMPOSIÇÃO</v>
      </c>
      <c r="D609" s="78" t="str">
        <f>IFERROR(VLOOKUP($A609,[5]P.O.!$A:$J,4,),"")</f>
        <v>FORNECIMENTO E INSTALAÇÃO DE PATCHVIEW - PATCH PANEL GERENSIAVEL 48 PORTAS ALTA DENSIDADE - CAT. 6 UTP - 1U.</v>
      </c>
      <c r="E609" s="91" t="str">
        <f>IFERROR(VLOOKUP($A609,[5]P.O.!$A:$J,5,),"")</f>
        <v>UND</v>
      </c>
      <c r="F609" s="139">
        <f>IFERROR(VLOOKUP($A609,[5]P.O.!$A:$J,6,),"")</f>
        <v>1</v>
      </c>
      <c r="G609" s="140">
        <f>IFERROR(VLOOKUP($A609,[5]P.O.!$A:$J,7,),"")</f>
        <v>1061.9000000000001</v>
      </c>
      <c r="H609" s="140">
        <f>IFERROR(VLOOKUP($A609,[5]P.O.!$A:$J,8,),"")</f>
        <v>1327.38</v>
      </c>
      <c r="I609" s="140">
        <f>IFERROR(VLOOKUP($A609,[5]P.O.!$A:$J,9,),"")</f>
        <v>1327.38</v>
      </c>
      <c r="J609" s="159">
        <f t="shared" si="64"/>
        <v>6.2460047835875907E-4</v>
      </c>
      <c r="K609" s="145">
        <f>IFERROR(VLOOKUP($A609,[5]P.O.!$A:$J,10,),"")</f>
        <v>0.25</v>
      </c>
      <c r="L609" s="265"/>
    </row>
    <row r="610" spans="1:12" s="250" customFormat="1">
      <c r="A610" s="76"/>
      <c r="B610" s="77"/>
      <c r="C610" s="77"/>
      <c r="D610" s="78"/>
      <c r="E610" s="91"/>
      <c r="F610" s="139"/>
      <c r="G610" s="140"/>
      <c r="H610" s="140"/>
      <c r="I610" s="140"/>
      <c r="J610" s="159"/>
      <c r="K610" s="141"/>
    </row>
    <row r="611" spans="1:12" s="250" customFormat="1">
      <c r="A611" s="95" t="s">
        <v>552</v>
      </c>
      <c r="B611" s="110"/>
      <c r="C611" s="110"/>
      <c r="D611" s="97" t="str">
        <f>IFERROR(VLOOKUP($A611,[5]P.O.!$A:$J,4,),"")</f>
        <v>GRAVADOR</v>
      </c>
      <c r="E611" s="96"/>
      <c r="F611" s="163"/>
      <c r="G611" s="180"/>
      <c r="H611" s="180"/>
      <c r="I611" s="180"/>
      <c r="J611" s="165"/>
      <c r="K611" s="181"/>
    </row>
    <row r="612" spans="1:12" s="251" customFormat="1" ht="33">
      <c r="A612" s="76" t="s">
        <v>553</v>
      </c>
      <c r="B612" s="77" t="str">
        <f>IFERROR(VLOOKUP($A612,[5]P.O.!$A:$J,2,),"")</f>
        <v>COMPS33115</v>
      </c>
      <c r="C612" s="77" t="str">
        <f>IFERROR(VLOOKUP($A612,[5]P.O.!$A:$J,3,),"")</f>
        <v>COMPOSIÇÃO</v>
      </c>
      <c r="D612" s="78" t="str">
        <f>IFERROR(VLOOKUP($A612,[5]P.O.!$A:$J,4,),"")</f>
        <v>FORNECIMENTO E INSTALAÇÃO DE GRAVADOR NVR 16CH IP - MULTI STREAMING-H.264 - HDMI/RS-485 - FABR. TECVOZ. OU EQUIVALENTE TÉCNICO.</v>
      </c>
      <c r="E612" s="91" t="str">
        <f>IFERROR(VLOOKUP($A612,[5]P.O.!$A:$J,5,),"")</f>
        <v>UND</v>
      </c>
      <c r="F612" s="139">
        <f>IFERROR(VLOOKUP($A612,[5]P.O.!$A:$J,6,),"")</f>
        <v>1</v>
      </c>
      <c r="G612" s="140">
        <f>IFERROR(VLOOKUP($A612,[5]P.O.!$A:$J,7,),"")</f>
        <v>1102.55</v>
      </c>
      <c r="H612" s="140">
        <f>IFERROR(VLOOKUP($A612,[5]P.O.!$A:$J,8,),"")</f>
        <v>1378.19</v>
      </c>
      <c r="I612" s="140">
        <f>IFERROR(VLOOKUP($A612,[5]P.O.!$A:$J,9,),"")</f>
        <v>1378.19</v>
      </c>
      <c r="J612" s="159">
        <f>IF(I612="","",I612/$E$777)</f>
        <v>6.4850919350092516E-4</v>
      </c>
      <c r="K612" s="145">
        <f>IFERROR(VLOOKUP($A612,[5]P.O.!$A:$J,10,),"")</f>
        <v>0.25</v>
      </c>
      <c r="L612" s="265"/>
    </row>
    <row r="613" spans="1:12" s="251" customFormat="1">
      <c r="A613" s="76"/>
      <c r="B613" s="77"/>
      <c r="C613" s="77"/>
      <c r="D613" s="78"/>
      <c r="E613" s="91"/>
      <c r="F613" s="139"/>
      <c r="G613" s="140"/>
      <c r="H613" s="140"/>
      <c r="I613" s="140"/>
      <c r="J613" s="159"/>
      <c r="K613" s="141"/>
    </row>
    <row r="614" spans="1:12" s="251" customFormat="1">
      <c r="A614" s="76"/>
      <c r="B614" s="77"/>
      <c r="C614" s="77"/>
      <c r="D614" s="78"/>
      <c r="E614" s="91"/>
      <c r="F614" s="139"/>
      <c r="G614" s="140"/>
      <c r="H614" s="140"/>
      <c r="I614" s="140"/>
      <c r="J614" s="159"/>
      <c r="K614" s="141"/>
    </row>
    <row r="615" spans="1:12" s="252" customFormat="1">
      <c r="A615" s="5" t="s">
        <v>138</v>
      </c>
      <c r="B615" s="24"/>
      <c r="C615" s="24"/>
      <c r="D615" s="31" t="s">
        <v>7</v>
      </c>
      <c r="E615" s="127"/>
      <c r="F615" s="128"/>
      <c r="G615" s="129"/>
      <c r="H615" s="129"/>
      <c r="I615" s="129">
        <f>SUM(I616:I660)</f>
        <v>89568.6</v>
      </c>
      <c r="J615" s="227">
        <f>IF(I615="","",I615/$E$777)</f>
        <v>4.2146627496213854E-2</v>
      </c>
      <c r="K615" s="130"/>
    </row>
    <row r="616" spans="1:12" s="251" customFormat="1">
      <c r="A616" s="76"/>
      <c r="B616" s="77"/>
      <c r="C616" s="77"/>
      <c r="D616" s="78"/>
      <c r="E616" s="91"/>
      <c r="F616" s="139"/>
      <c r="G616" s="140"/>
      <c r="H616" s="140"/>
      <c r="I616" s="140"/>
      <c r="J616" s="159"/>
      <c r="K616" s="141"/>
    </row>
    <row r="617" spans="1:12" s="250" customFormat="1">
      <c r="A617" s="95" t="s">
        <v>139</v>
      </c>
      <c r="B617" s="110"/>
      <c r="C617" s="110"/>
      <c r="D617" s="97" t="str">
        <f>IFERROR(VLOOKUP($A617,[5]P.O.!$A:$J,4,),"")</f>
        <v>FIXAÇÃO</v>
      </c>
      <c r="E617" s="96"/>
      <c r="F617" s="163"/>
      <c r="G617" s="180"/>
      <c r="H617" s="180"/>
      <c r="I617" s="180"/>
      <c r="J617" s="165"/>
      <c r="K617" s="181"/>
    </row>
    <row r="618" spans="1:12" s="251" customFormat="1" ht="33">
      <c r="A618" s="76" t="s">
        <v>140</v>
      </c>
      <c r="B618" s="77" t="str">
        <f>IFERROR(VLOOKUP($A618,[5]P.O.!$A:$J,2,),"")</f>
        <v>COMPS33109</v>
      </c>
      <c r="C618" s="77" t="str">
        <f>IFERROR(VLOOKUP($A618,[5]P.O.!$A:$J,3,),"")</f>
        <v>COMPOSIÇÃO</v>
      </c>
      <c r="D618" s="78" t="str">
        <f>IFERROR(VLOOKUP($A618,[5]P.O.!$A:$J,4,),"")</f>
        <v>FORNECIMENTO E INSTALAÇÃO DE ARRUELA LISA Ø1/4 ";  FABRICANTE: MAXTIL OU EQUIVALENTE TÉCNICO. REF: MAX AF.AL.</v>
      </c>
      <c r="E618" s="91" t="str">
        <f>IFERROR(VLOOKUP($A618,[5]P.O.!$A:$J,5,),"")</f>
        <v>UND</v>
      </c>
      <c r="F618" s="139">
        <f>IFERROR(VLOOKUP($A618,[5]P.O.!$A:$J,6,),"")</f>
        <v>522</v>
      </c>
      <c r="G618" s="140">
        <f>IFERROR(VLOOKUP($A618,[5]P.O.!$A:$J,7,),"")</f>
        <v>0.29000000000000004</v>
      </c>
      <c r="H618" s="140">
        <f>IFERROR(VLOOKUP($A618,[5]P.O.!$A:$J,8,),"")</f>
        <v>0.36</v>
      </c>
      <c r="I618" s="140">
        <f>IFERROR(VLOOKUP($A618,[5]P.O.!$A:$J,9,),"")</f>
        <v>187.92</v>
      </c>
      <c r="J618" s="159">
        <f t="shared" ref="J618:J622" si="65">IF(I618="","",I618/$E$777)</f>
        <v>8.8426013570475659E-5</v>
      </c>
      <c r="K618" s="145">
        <f>IFERROR(VLOOKUP($A618,[5]P.O.!$A:$J,10,),"")</f>
        <v>0.25</v>
      </c>
      <c r="L618" s="265"/>
    </row>
    <row r="619" spans="1:12" s="251" customFormat="1" ht="33">
      <c r="A619" s="76" t="s">
        <v>141</v>
      </c>
      <c r="B619" s="77" t="str">
        <f>IFERROR(VLOOKUP($A619,[5]P.O.!$A:$J,2,),"")</f>
        <v>COMPS33107</v>
      </c>
      <c r="C619" s="77" t="str">
        <f>IFERROR(VLOOKUP($A619,[5]P.O.!$A:$J,3,),"")</f>
        <v>COMPOSIÇÃO</v>
      </c>
      <c r="D619" s="78" t="str">
        <f>IFERROR(VLOOKUP($A619,[5]P.O.!$A:$J,4,),"")</f>
        <v>FORNECIMENTO E INSTALAÇÃO DE PARAFUSO CABEÇA LENTILHA COM FENDA Ø1/4" X 5/8";   FABRICANTE: MAXTIL OU EQUIVALENTE TÉCNICO. REF: MAX AF.PCL.</v>
      </c>
      <c r="E619" s="91" t="str">
        <f>IFERROR(VLOOKUP($A619,[5]P.O.!$A:$J,5,),"")</f>
        <v>UND</v>
      </c>
      <c r="F619" s="139">
        <f>IFERROR(VLOOKUP($A619,[5]P.O.!$A:$J,6,),"")</f>
        <v>522</v>
      </c>
      <c r="G619" s="140">
        <f>IFERROR(VLOOKUP($A619,[5]P.O.!$A:$J,7,),"")</f>
        <v>2.82</v>
      </c>
      <c r="H619" s="140">
        <f>IFERROR(VLOOKUP($A619,[5]P.O.!$A:$J,8,),"")</f>
        <v>3.53</v>
      </c>
      <c r="I619" s="140">
        <f>IFERROR(VLOOKUP($A619,[5]P.O.!$A:$J,9,),"")</f>
        <v>1842.66</v>
      </c>
      <c r="J619" s="159">
        <f t="shared" si="65"/>
        <v>8.6706618862160867E-4</v>
      </c>
      <c r="K619" s="145">
        <f>IFERROR(VLOOKUP($A619,[5]P.O.!$A:$J,10,),"")</f>
        <v>0.25</v>
      </c>
      <c r="L619" s="265"/>
    </row>
    <row r="620" spans="1:12" s="251" customFormat="1" ht="33">
      <c r="A620" s="76" t="s">
        <v>142</v>
      </c>
      <c r="B620" s="77" t="str">
        <f>IFERROR(VLOOKUP($A620,[5]P.O.!$A:$J,2,),"")</f>
        <v>COMPS33108</v>
      </c>
      <c r="C620" s="77" t="str">
        <f>IFERROR(VLOOKUP($A620,[5]P.O.!$A:$J,3,),"")</f>
        <v>COMPOSIÇÃO</v>
      </c>
      <c r="D620" s="78" t="str">
        <f>IFERROR(VLOOKUP($A620,[5]P.O.!$A:$J,4,),"")</f>
        <v>FORNECIMENTO E INSTALAÇÃO DE PORCA SEXTAVADO Ø1/4"; FABRICANTE: MAXTIL OU EQUIVALENTE TÉCNICO. REF: MAX AF.PS.</v>
      </c>
      <c r="E620" s="91" t="str">
        <f>IFERROR(VLOOKUP($A620,[5]P.O.!$A:$J,5,),"")</f>
        <v>UND</v>
      </c>
      <c r="F620" s="139">
        <f>IFERROR(VLOOKUP($A620,[5]P.O.!$A:$J,6,),"")</f>
        <v>522</v>
      </c>
      <c r="G620" s="140">
        <f>IFERROR(VLOOKUP($A620,[5]P.O.!$A:$J,7,),"")</f>
        <v>0.2</v>
      </c>
      <c r="H620" s="140">
        <f>IFERROR(VLOOKUP($A620,[5]P.O.!$A:$J,8,),"")</f>
        <v>0.25</v>
      </c>
      <c r="I620" s="140">
        <f>IFERROR(VLOOKUP($A620,[5]P.O.!$A:$J,9,),"")</f>
        <v>130.5</v>
      </c>
      <c r="J620" s="159">
        <f t="shared" si="65"/>
        <v>6.1406953868385877E-5</v>
      </c>
      <c r="K620" s="145">
        <f>IFERROR(VLOOKUP($A620,[5]P.O.!$A:$J,10,),"")</f>
        <v>0.25</v>
      </c>
      <c r="L620" s="265"/>
    </row>
    <row r="621" spans="1:12" s="251" customFormat="1" ht="33">
      <c r="A621" s="76" t="s">
        <v>143</v>
      </c>
      <c r="B621" s="77" t="str">
        <f>IFERROR(VLOOKUP($A621,[5]P.O.!$A:$J,2,),"")</f>
        <v>COMPS36001</v>
      </c>
      <c r="C621" s="77" t="str">
        <f>IFERROR(VLOOKUP($A621,[5]P.O.!$A:$J,3,),"")</f>
        <v>COMPOSIÇÃO</v>
      </c>
      <c r="D621" s="78" t="str">
        <f>IFERROR(VLOOKUP($A621,[5]P.O.!$A:$J,4,),"")</f>
        <v xml:space="preserve">FORNECIMENTO E INSTALAÇÃO DE VERGALHÃO ROSCA TOTAL Ø1/4"; FORNECIDO EM BARRA COM 3M; FABRICANTE: MAXTIL OU EQUIVALENTE TÉCNICO. </v>
      </c>
      <c r="E621" s="91" t="str">
        <f>IFERROR(VLOOKUP($A621,[5]P.O.!$A:$J,5,),"")</f>
        <v>UND</v>
      </c>
      <c r="F621" s="139">
        <f>IFERROR(VLOOKUP($A621,[5]P.O.!$A:$J,6,),"")</f>
        <v>12</v>
      </c>
      <c r="G621" s="140">
        <f>IFERROR(VLOOKUP($A621,[5]P.O.!$A:$J,7,),"")</f>
        <v>30.59</v>
      </c>
      <c r="H621" s="140">
        <f>IFERROR(VLOOKUP($A621,[5]P.O.!$A:$J,8,),"")</f>
        <v>38.24</v>
      </c>
      <c r="I621" s="140">
        <f>IFERROR(VLOOKUP($A621,[5]P.O.!$A:$J,9,),"")</f>
        <v>458.88</v>
      </c>
      <c r="J621" s="159">
        <f t="shared" si="65"/>
        <v>2.1592661295881158E-4</v>
      </c>
      <c r="K621" s="145">
        <f>IFERROR(VLOOKUP($A621,[5]P.O.!$A:$J,10,),"")</f>
        <v>0.25</v>
      </c>
      <c r="L621" s="265"/>
    </row>
    <row r="622" spans="1:12" s="251" customFormat="1" ht="33">
      <c r="A622" s="76" t="s">
        <v>144</v>
      </c>
      <c r="B622" s="77" t="str">
        <f>IFERROR(VLOOKUP($A622,[5]P.O.!$A:$J,2,),"")</f>
        <v>COMPS36002</v>
      </c>
      <c r="C622" s="77" t="str">
        <f>IFERROR(VLOOKUP($A622,[5]P.O.!$A:$J,3,),"")</f>
        <v>COMPOSIÇÃO</v>
      </c>
      <c r="D622" s="78" t="str">
        <f>IFERROR(VLOOKUP($A622,[5]P.O.!$A:$J,4,),"")</f>
        <v xml:space="preserve">FORNECIMENTO E COLOCAÇÃO DE CHUMBADOR EXPANSIVO "CB",  DE 1/4" ,COMPLETO EM AÇO ZINCADO GALVANIZADO A FOGO. FABRICANTE: MAXTIL OU EQUIVALENTE TÉCNICO. </v>
      </c>
      <c r="E622" s="91" t="str">
        <f>IFERROR(VLOOKUP($A622,[5]P.O.!$A:$J,5,),"")</f>
        <v>UND.</v>
      </c>
      <c r="F622" s="139">
        <f>IFERROR(VLOOKUP($A622,[5]P.O.!$A:$J,6,),"")</f>
        <v>144</v>
      </c>
      <c r="G622" s="140">
        <f>IFERROR(VLOOKUP($A622,[5]P.O.!$A:$J,7,),"")</f>
        <v>0.95000000000000007</v>
      </c>
      <c r="H622" s="140">
        <f>IFERROR(VLOOKUP($A622,[5]P.O.!$A:$J,8,),"")</f>
        <v>1.19</v>
      </c>
      <c r="I622" s="140">
        <f>IFERROR(VLOOKUP($A622,[5]P.O.!$A:$J,9,),"")</f>
        <v>171.36</v>
      </c>
      <c r="J622" s="159">
        <f t="shared" si="65"/>
        <v>8.0633682872694289E-5</v>
      </c>
      <c r="K622" s="145">
        <f>IFERROR(VLOOKUP($A622,[5]P.O.!$A:$J,10,),"")</f>
        <v>0.25</v>
      </c>
      <c r="L622" s="265"/>
    </row>
    <row r="623" spans="1:12" s="251" customFormat="1">
      <c r="A623" s="76"/>
      <c r="B623" s="77"/>
      <c r="C623" s="77"/>
      <c r="D623" s="78"/>
      <c r="E623" s="91"/>
      <c r="F623" s="139"/>
      <c r="G623" s="140"/>
      <c r="H623" s="140"/>
      <c r="I623" s="140"/>
      <c r="J623" s="159"/>
      <c r="K623" s="141"/>
    </row>
    <row r="624" spans="1:12" s="250" customFormat="1">
      <c r="A624" s="95" t="s">
        <v>145</v>
      </c>
      <c r="B624" s="110"/>
      <c r="C624" s="110"/>
      <c r="D624" s="97" t="str">
        <f>IFERROR(VLOOKUP($A624,[5]P.O.!$A:$J,4,),"")</f>
        <v>CAIXAS</v>
      </c>
      <c r="E624" s="96"/>
      <c r="F624" s="163"/>
      <c r="G624" s="180"/>
      <c r="H624" s="180"/>
      <c r="I624" s="180"/>
      <c r="J624" s="165"/>
      <c r="K624" s="181"/>
    </row>
    <row r="625" spans="1:12" s="251" customFormat="1">
      <c r="A625" s="76" t="s">
        <v>146</v>
      </c>
      <c r="B625" s="77" t="str">
        <f>IFERROR(VLOOKUP($A625,[5]P.O.!$A:$J,2,),"")</f>
        <v>73861/015</v>
      </c>
      <c r="C625" s="77" t="str">
        <f>IFERROR(VLOOKUP($A625,[5]P.O.!$A:$J,3,),"")</f>
        <v>SINAPI SERVIÇO</v>
      </c>
      <c r="D625" s="78" t="str">
        <f>IFERROR(VLOOKUP($A625,[5]P.O.!$A:$J,4,),"")</f>
        <v>CONDULETE 1" EM LIGA DE ALUMÍNIO FUNDIDO TIPO "LL" - FORNECIMENTO E IN   STALACAO</v>
      </c>
      <c r="E625" s="91" t="str">
        <f>IFERROR(VLOOKUP($A625,[5]P.O.!$A:$J,5,),"")</f>
        <v>UN</v>
      </c>
      <c r="F625" s="139">
        <f>IFERROR(VLOOKUP($A625,[5]P.O.!$A:$J,6,),"")</f>
        <v>6</v>
      </c>
      <c r="G625" s="140">
        <f>IFERROR(VLOOKUP($A625,[5]P.O.!$A:$J,7,),"")</f>
        <v>20.12</v>
      </c>
      <c r="H625" s="140">
        <f>IFERROR(VLOOKUP($A625,[5]P.O.!$A:$J,8,),"")</f>
        <v>25.15</v>
      </c>
      <c r="I625" s="140">
        <f>IFERROR(VLOOKUP($A625,[5]P.O.!$A:$J,9,),"")</f>
        <v>150.9</v>
      </c>
      <c r="J625" s="159">
        <f t="shared" ref="J625:J628" si="66">IF(I625="","",I625/$E$777)</f>
        <v>7.100620182942091E-5</v>
      </c>
      <c r="K625" s="145">
        <f>IFERROR(VLOOKUP($A625,[5]P.O.!$A:$J,10,),"")</f>
        <v>0.25</v>
      </c>
      <c r="L625" s="265"/>
    </row>
    <row r="626" spans="1:12" s="251" customFormat="1">
      <c r="A626" s="76" t="s">
        <v>147</v>
      </c>
      <c r="B626" s="77" t="str">
        <f>IFERROR(VLOOKUP($A626,[5]P.O.!$A:$J,2,),"")</f>
        <v>73861/021</v>
      </c>
      <c r="C626" s="77" t="str">
        <f>IFERROR(VLOOKUP($A626,[5]P.O.!$A:$J,3,),"")</f>
        <v>SINAPI SERVIÇO</v>
      </c>
      <c r="D626" s="78" t="str">
        <f>IFERROR(VLOOKUP($A626,[5]P.O.!$A:$J,4,),"")</f>
        <v>CONDULETE 1" EM LIGA DE ALUMÍNIO FUNDIDO TIPO "T" - FORNECIMENTO E INS   TALACAO</v>
      </c>
      <c r="E626" s="91" t="str">
        <f>IFERROR(VLOOKUP($A626,[5]P.O.!$A:$J,5,),"")</f>
        <v>UN</v>
      </c>
      <c r="F626" s="139">
        <f>IFERROR(VLOOKUP($A626,[5]P.O.!$A:$J,6,),"")</f>
        <v>2</v>
      </c>
      <c r="G626" s="140">
        <f>IFERROR(VLOOKUP($A626,[5]P.O.!$A:$J,7,),"")</f>
        <v>23.76</v>
      </c>
      <c r="H626" s="140">
        <f>IFERROR(VLOOKUP($A626,[5]P.O.!$A:$J,8,),"")</f>
        <v>29.7</v>
      </c>
      <c r="I626" s="140">
        <f>IFERROR(VLOOKUP($A626,[5]P.O.!$A:$J,9,),"")</f>
        <v>59.4</v>
      </c>
      <c r="J626" s="159">
        <f t="shared" si="66"/>
        <v>2.7950751415954952E-5</v>
      </c>
      <c r="K626" s="145">
        <f>IFERROR(VLOOKUP($A626,[5]P.O.!$A:$J,10,),"")</f>
        <v>0.25</v>
      </c>
      <c r="L626" s="265"/>
    </row>
    <row r="627" spans="1:12" s="251" customFormat="1">
      <c r="A627" s="76" t="s">
        <v>148</v>
      </c>
      <c r="B627" s="77" t="str">
        <f>IFERROR(VLOOKUP($A627,[5]P.O.!$A:$J,2,),"")</f>
        <v>73861/006</v>
      </c>
      <c r="C627" s="77" t="str">
        <f>IFERROR(VLOOKUP($A627,[5]P.O.!$A:$J,3,),"")</f>
        <v>SINAPI SERVIÇO</v>
      </c>
      <c r="D627" s="78" t="str">
        <f>IFERROR(VLOOKUP($A627,[5]P.O.!$A:$J,4,),"")</f>
        <v>CONDULETE 1" EM LIGA DE ALUMÍNIO FUNDIDO TIPO "C" - FORNECIMENTO E INS   TALACAO</v>
      </c>
      <c r="E627" s="91" t="str">
        <f>IFERROR(VLOOKUP($A627,[5]P.O.!$A:$J,5,),"")</f>
        <v>UN</v>
      </c>
      <c r="F627" s="139">
        <f>IFERROR(VLOOKUP($A627,[5]P.O.!$A:$J,6,),"")</f>
        <v>2</v>
      </c>
      <c r="G627" s="140">
        <f>IFERROR(VLOOKUP($A627,[5]P.O.!$A:$J,7,),"")</f>
        <v>20.399999999999999</v>
      </c>
      <c r="H627" s="140">
        <f>IFERROR(VLOOKUP($A627,[5]P.O.!$A:$J,8,),"")</f>
        <v>25.5</v>
      </c>
      <c r="I627" s="140">
        <f>IFERROR(VLOOKUP($A627,[5]P.O.!$A:$J,9,),"")</f>
        <v>51</v>
      </c>
      <c r="J627" s="159">
        <f t="shared" si="66"/>
        <v>2.3998119902587584E-5</v>
      </c>
      <c r="K627" s="145">
        <f>IFERROR(VLOOKUP($A627,[5]P.O.!$A:$J,10,),"")</f>
        <v>0.25</v>
      </c>
      <c r="L627" s="265"/>
    </row>
    <row r="628" spans="1:12" s="251" customFormat="1">
      <c r="A628" s="76" t="s">
        <v>149</v>
      </c>
      <c r="B628" s="77">
        <f>IFERROR(VLOOKUP($A628,[5]P.O.!$A:$J,2,),"")</f>
        <v>83387</v>
      </c>
      <c r="C628" s="77" t="str">
        <f>IFERROR(VLOOKUP($A628,[5]P.O.!$A:$J,3,),"")</f>
        <v>SINAPI SERVIÇO</v>
      </c>
      <c r="D628" s="78" t="str">
        <f>IFERROR(VLOOKUP($A628,[5]P.O.!$A:$J,4,),"")</f>
        <v>CAIXA DE PASSAGEM PVC 4X2" - FORNECIMENTO E INSTALACAO</v>
      </c>
      <c r="E628" s="91" t="str">
        <f>IFERROR(VLOOKUP($A628,[5]P.O.!$A:$J,5,),"")</f>
        <v>UN</v>
      </c>
      <c r="F628" s="139">
        <f>IFERROR(VLOOKUP($A628,[5]P.O.!$A:$J,6,),"")</f>
        <v>31</v>
      </c>
      <c r="G628" s="140">
        <f>IFERROR(VLOOKUP($A628,[5]P.O.!$A:$J,7,),"")</f>
        <v>6.53</v>
      </c>
      <c r="H628" s="140">
        <f>IFERROR(VLOOKUP($A628,[5]P.O.!$A:$J,8,),"")</f>
        <v>8.16</v>
      </c>
      <c r="I628" s="140">
        <f>IFERROR(VLOOKUP($A628,[5]P.O.!$A:$J,9,),"")</f>
        <v>252.96</v>
      </c>
      <c r="J628" s="159">
        <f t="shared" si="66"/>
        <v>1.1903067471683442E-4</v>
      </c>
      <c r="K628" s="145">
        <f>IFERROR(VLOOKUP($A628,[5]P.O.!$A:$J,10,),"")</f>
        <v>0.25</v>
      </c>
      <c r="L628" s="265"/>
    </row>
    <row r="629" spans="1:12" s="251" customFormat="1">
      <c r="A629" s="76"/>
      <c r="B629" s="77"/>
      <c r="C629" s="77"/>
      <c r="D629" s="78"/>
      <c r="E629" s="91"/>
      <c r="F629" s="139"/>
      <c r="G629" s="140"/>
      <c r="H629" s="140"/>
      <c r="I629" s="140"/>
      <c r="J629" s="159"/>
      <c r="K629" s="141"/>
    </row>
    <row r="630" spans="1:12" s="250" customFormat="1">
      <c r="A630" s="95" t="s">
        <v>554</v>
      </c>
      <c r="B630" s="110"/>
      <c r="C630" s="110"/>
      <c r="D630" s="97" t="str">
        <f>IFERROR(VLOOKUP($A630,[5]P.O.!$A:$J,4,),"")</f>
        <v>ELETRODUTOS</v>
      </c>
      <c r="E630" s="96"/>
      <c r="F630" s="163"/>
      <c r="G630" s="180"/>
      <c r="H630" s="180"/>
      <c r="I630" s="180"/>
      <c r="J630" s="165"/>
      <c r="K630" s="181"/>
    </row>
    <row r="631" spans="1:12" s="251" customFormat="1" ht="49.5">
      <c r="A631" s="76" t="s">
        <v>555</v>
      </c>
      <c r="B631" s="77" t="str">
        <f>IFERROR(VLOOKUP($A631,[5]P.O.!$A:$J,2,),"")</f>
        <v>COMPS33102</v>
      </c>
      <c r="C631" s="77" t="str">
        <f>IFERROR(VLOOKUP($A631,[5]P.O.!$A:$J,3,),"")</f>
        <v>COMPOSIÇÃO</v>
      </c>
      <c r="D631" s="78" t="str">
        <f>IFERROR(VLOOKUP($A631,[5]P.O.!$A:$J,4,),"")</f>
        <v>FORNECIMENTO E INSTALAÇÃO DE ELETRODUTO  LEVE, Ø1" , GALVANIZADO A FOGO; ROSCADO NAS DUAS EXTREMIDADES CONFORME NORMA NBR NM ISO 7-1; FABRICANTE: APOLO OU EQUIVALENTE TECNICO; INCLUSIVE CONEXÕES</v>
      </c>
      <c r="E631" s="91" t="str">
        <f>IFERROR(VLOOKUP($A631,[5]P.O.!$A:$J,5,),"")</f>
        <v>UND</v>
      </c>
      <c r="F631" s="139">
        <f>IFERROR(VLOOKUP($A631,[5]P.O.!$A:$J,6,),"")</f>
        <v>12</v>
      </c>
      <c r="G631" s="140">
        <f>IFERROR(VLOOKUP($A631,[5]P.O.!$A:$J,7,),"")</f>
        <v>61.35</v>
      </c>
      <c r="H631" s="140">
        <f>IFERROR(VLOOKUP($A631,[5]P.O.!$A:$J,8,),"")</f>
        <v>76.69</v>
      </c>
      <c r="I631" s="140">
        <f>IFERROR(VLOOKUP($A631,[5]P.O.!$A:$J,9,),"")</f>
        <v>920.28</v>
      </c>
      <c r="J631" s="159">
        <f t="shared" ref="J631:J632" si="67">IF(I631="","",I631/$E$777)</f>
        <v>4.3303901537163335E-4</v>
      </c>
      <c r="K631" s="145">
        <f>IFERROR(VLOOKUP($A631,[5]P.O.!$A:$J,10,),"")</f>
        <v>0.25</v>
      </c>
      <c r="L631" s="265"/>
    </row>
    <row r="632" spans="1:12" s="250" customFormat="1" ht="33">
      <c r="A632" s="76" t="s">
        <v>556</v>
      </c>
      <c r="B632" s="77" t="str">
        <f>IFERROR(VLOOKUP($A632,[5]P.O.!$A:$J,2,),"")</f>
        <v>COMPS33105</v>
      </c>
      <c r="C632" s="77" t="str">
        <f>IFERROR(VLOOKUP($A632,[5]P.O.!$A:$J,3,),"")</f>
        <v>COMPOSIÇÃO</v>
      </c>
      <c r="D632" s="78" t="str">
        <f>IFERROR(VLOOKUP($A632,[5]P.O.!$A:$J,4,),"")</f>
        <v>FORNECIMENTO E INSTALAÇÃO DE ABRAÇADEIRA METÁLICA, TIPO D C/ CUNHA PARA Ø1"; FABRICANTE: MAXTIL OU EQUIVALENTE TECNICO - REF: MAX AA.TDC.</v>
      </c>
      <c r="E632" s="91" t="str">
        <f>IFERROR(VLOOKUP($A632,[5]P.O.!$A:$J,5,),"")</f>
        <v>UND</v>
      </c>
      <c r="F632" s="139">
        <f>IFERROR(VLOOKUP($A632,[5]P.O.!$A:$J,6,),"")</f>
        <v>28</v>
      </c>
      <c r="G632" s="140">
        <f>IFERROR(VLOOKUP($A632,[5]P.O.!$A:$J,7,),"")</f>
        <v>4.3</v>
      </c>
      <c r="H632" s="140">
        <f>IFERROR(VLOOKUP($A632,[5]P.O.!$A:$J,8,),"")</f>
        <v>5.38</v>
      </c>
      <c r="I632" s="140">
        <f>IFERROR(VLOOKUP($A632,[5]P.O.!$A:$J,9,),"")</f>
        <v>150.63999999999999</v>
      </c>
      <c r="J632" s="159">
        <f t="shared" si="67"/>
        <v>7.0883858473054775E-5</v>
      </c>
      <c r="K632" s="145">
        <f>IFERROR(VLOOKUP($A632,[5]P.O.!$A:$J,10,),"")</f>
        <v>0.25</v>
      </c>
      <c r="L632" s="265"/>
    </row>
    <row r="633" spans="1:12" s="251" customFormat="1">
      <c r="A633" s="76"/>
      <c r="B633" s="77"/>
      <c r="C633" s="77"/>
      <c r="D633" s="78"/>
      <c r="E633" s="91"/>
      <c r="F633" s="139"/>
      <c r="G633" s="140"/>
      <c r="H633" s="140"/>
      <c r="I633" s="140"/>
      <c r="J633" s="159"/>
      <c r="K633" s="141"/>
    </row>
    <row r="634" spans="1:12" s="250" customFormat="1">
      <c r="A634" s="95" t="s">
        <v>557</v>
      </c>
      <c r="B634" s="110"/>
      <c r="C634" s="110"/>
      <c r="D634" s="97" t="str">
        <f>IFERROR(VLOOKUP($A634,[5]P.O.!$A:$J,4,),"")</f>
        <v>ELETROCALHA/PERFILADO</v>
      </c>
      <c r="E634" s="96"/>
      <c r="F634" s="163"/>
      <c r="G634" s="180"/>
      <c r="H634" s="180"/>
      <c r="I634" s="180"/>
      <c r="J634" s="165"/>
      <c r="K634" s="181"/>
    </row>
    <row r="635" spans="1:12" s="251" customFormat="1" ht="49.5">
      <c r="A635" s="76" t="s">
        <v>558</v>
      </c>
      <c r="B635" s="77" t="str">
        <f>IFERROR(VLOOKUP($A635,[5]P.O.!$A:$J,2,),"")</f>
        <v>COMPS36004</v>
      </c>
      <c r="C635" s="77" t="str">
        <f>IFERROR(VLOOKUP($A635,[5]P.O.!$A:$J,3,),"")</f>
        <v>COMPOSIÇÃO</v>
      </c>
      <c r="D635" s="78" t="str">
        <f>IFERROR(VLOOKUP($A635,[5]P.O.!$A:$J,4,),"")</f>
        <v xml:space="preserve">FORNECIMENTO E INSTALAÇÃO DE ELETROCALHA PERFURADA,  50X50X3000 MM ,COM TAMPA DE PRESSÃO , TIPO U,COM ABAS, GALVANIZADA À QUENTE POR IMERSÃO, SEGUNDO NORMA NBR 6323; MAXTIL OU EQUIVALENTE TÉCNICO. </v>
      </c>
      <c r="E635" s="91" t="str">
        <f>IFERROR(VLOOKUP($A635,[5]P.O.!$A:$J,5,),"")</f>
        <v>UND.</v>
      </c>
      <c r="F635" s="139">
        <f>IFERROR(VLOOKUP($A635,[5]P.O.!$A:$J,6,),"")</f>
        <v>18</v>
      </c>
      <c r="G635" s="140">
        <f>IFERROR(VLOOKUP($A635,[5]P.O.!$A:$J,7,),"")</f>
        <v>78.73</v>
      </c>
      <c r="H635" s="140">
        <f>IFERROR(VLOOKUP($A635,[5]P.O.!$A:$J,8,),"")</f>
        <v>98.41</v>
      </c>
      <c r="I635" s="140">
        <f>IFERROR(VLOOKUP($A635,[5]P.O.!$A:$J,9,),"")</f>
        <v>1771.38</v>
      </c>
      <c r="J635" s="159">
        <f t="shared" ref="J635:J640" si="68">IF(I635="","",I635/$E$777)</f>
        <v>8.3352528692246268E-4</v>
      </c>
      <c r="K635" s="145">
        <f>IFERROR(VLOOKUP($A635,[5]P.O.!$A:$J,10,),"")</f>
        <v>0.25</v>
      </c>
      <c r="L635" s="265"/>
    </row>
    <row r="636" spans="1:12" s="251" customFormat="1" ht="33">
      <c r="A636" s="76" t="s">
        <v>559</v>
      </c>
      <c r="B636" s="77" t="str">
        <f>IFERROR(VLOOKUP($A636,[5]P.O.!$A:$J,2,),"")</f>
        <v>COMPS36005</v>
      </c>
      <c r="C636" s="77" t="str">
        <f>IFERROR(VLOOKUP($A636,[5]P.O.!$A:$J,3,),"")</f>
        <v>COMPOSIÇÃO</v>
      </c>
      <c r="D636" s="78" t="str">
        <f>IFERROR(VLOOKUP($A636,[5]P.O.!$A:$J,4,),"")</f>
        <v>FORNECIMENTO E INSTALAÇÃO DE JUNÇÃO SIMPLES , ELETROCALHA 50X50 MM. FAB:  REFE:JSC.50,MAXTIL OU EQ TÉCNICO</v>
      </c>
      <c r="E636" s="91" t="str">
        <f>IFERROR(VLOOKUP($A636,[5]P.O.!$A:$J,5,),"")</f>
        <v>UND.</v>
      </c>
      <c r="F636" s="139">
        <f>IFERROR(VLOOKUP($A636,[5]P.O.!$A:$J,6,),"")</f>
        <v>200</v>
      </c>
      <c r="G636" s="140">
        <f>IFERROR(VLOOKUP($A636,[5]P.O.!$A:$J,7,),"")</f>
        <v>11</v>
      </c>
      <c r="H636" s="140">
        <f>IFERROR(VLOOKUP($A636,[5]P.O.!$A:$J,8,),"")</f>
        <v>13.75</v>
      </c>
      <c r="I636" s="140">
        <f>IFERROR(VLOOKUP($A636,[5]P.O.!$A:$J,9,),"")</f>
        <v>2750</v>
      </c>
      <c r="J636" s="159">
        <f t="shared" si="68"/>
        <v>1.2940162692571737E-3</v>
      </c>
      <c r="K636" s="145">
        <f>IFERROR(VLOOKUP($A636,[5]P.O.!$A:$J,10,),"")</f>
        <v>0.25</v>
      </c>
      <c r="L636" s="265"/>
    </row>
    <row r="637" spans="1:12" s="251" customFormat="1" ht="33">
      <c r="A637" s="76" t="s">
        <v>560</v>
      </c>
      <c r="B637" s="77" t="str">
        <f>IFERROR(VLOOKUP($A637,[5]P.O.!$A:$J,2,),"")</f>
        <v>COMPS36006</v>
      </c>
      <c r="C637" s="77" t="str">
        <f>IFERROR(VLOOKUP($A637,[5]P.O.!$A:$J,3,),"")</f>
        <v>COMPOSIÇÃO</v>
      </c>
      <c r="D637" s="78" t="str">
        <f>IFERROR(VLOOKUP($A637,[5]P.O.!$A:$J,4,),"")</f>
        <v>FORNECIMENTO E INSTALAÇÃO DE PERFILADO 38X38 MMX 3000MM. REFE:JSC.50,MAXTIL OU EQ TÉCNICO</v>
      </c>
      <c r="E637" s="91" t="str">
        <f>IFERROR(VLOOKUP($A637,[5]P.O.!$A:$J,5,),"")</f>
        <v>UND.</v>
      </c>
      <c r="F637" s="139">
        <f>IFERROR(VLOOKUP($A637,[5]P.O.!$A:$J,6,),"")</f>
        <v>6</v>
      </c>
      <c r="G637" s="140">
        <f>IFERROR(VLOOKUP($A637,[5]P.O.!$A:$J,7,),"")</f>
        <v>37.380000000000003</v>
      </c>
      <c r="H637" s="140">
        <f>IFERROR(VLOOKUP($A637,[5]P.O.!$A:$J,8,),"")</f>
        <v>46.73</v>
      </c>
      <c r="I637" s="140">
        <f>IFERROR(VLOOKUP($A637,[5]P.O.!$A:$J,9,),"")</f>
        <v>280.38</v>
      </c>
      <c r="J637" s="159">
        <f t="shared" si="68"/>
        <v>1.3193319329975504E-4</v>
      </c>
      <c r="K637" s="145">
        <f>IFERROR(VLOOKUP($A637,[5]P.O.!$A:$J,10,),"")</f>
        <v>0.25</v>
      </c>
      <c r="L637" s="265"/>
    </row>
    <row r="638" spans="1:12" s="251" customFormat="1" ht="49.5">
      <c r="A638" s="76" t="s">
        <v>561</v>
      </c>
      <c r="B638" s="77" t="str">
        <f>IFERROR(VLOOKUP($A638,[5]P.O.!$A:$J,2,),"")</f>
        <v>COMPS36007</v>
      </c>
      <c r="C638" s="77" t="str">
        <f>IFERROR(VLOOKUP($A638,[5]P.O.!$A:$J,3,),"")</f>
        <v>COMPOSIÇÃO</v>
      </c>
      <c r="D638" s="78" t="str">
        <f>IFERROR(VLOOKUP($A638,[5]P.O.!$A:$J,4,),"")</f>
        <v xml:space="preserve">FORNECIMENTO E INSTALAÇÃO DE TERMINAL LISO PARA ELETROCALHA, 50X50 MM GALVANIZADO À QUENTE POR IMERSÃO, SEGUNDO NORMA NBR 6323; FABRICANTE: MAXTIL OU EQUIVALENTE TÉCNICO. </v>
      </c>
      <c r="E638" s="91" t="str">
        <f>IFERROR(VLOOKUP($A638,[5]P.O.!$A:$J,5,),"")</f>
        <v>UND.</v>
      </c>
      <c r="F638" s="139">
        <f>IFERROR(VLOOKUP($A638,[5]P.O.!$A:$J,6,),"")</f>
        <v>9</v>
      </c>
      <c r="G638" s="140">
        <f>IFERROR(VLOOKUP($A638,[5]P.O.!$A:$J,7,),"")</f>
        <v>3.7199999999999998</v>
      </c>
      <c r="H638" s="140">
        <f>IFERROR(VLOOKUP($A638,[5]P.O.!$A:$J,8,),"")</f>
        <v>4.6500000000000004</v>
      </c>
      <c r="I638" s="140">
        <f>IFERROR(VLOOKUP($A638,[5]P.O.!$A:$J,9,),"")</f>
        <v>41.85</v>
      </c>
      <c r="J638" s="159">
        <f t="shared" si="68"/>
        <v>1.9692574861240991E-5</v>
      </c>
      <c r="K638" s="145">
        <f>IFERROR(VLOOKUP($A638,[5]P.O.!$A:$J,10,),"")</f>
        <v>0.25</v>
      </c>
      <c r="L638" s="265"/>
    </row>
    <row r="639" spans="1:12" s="251" customFormat="1" ht="49.5">
      <c r="A639" s="76" t="s">
        <v>562</v>
      </c>
      <c r="B639" s="77" t="str">
        <f>IFERROR(VLOOKUP($A639,[5]P.O.!$A:$J,2,),"")</f>
        <v>COMPS36008</v>
      </c>
      <c r="C639" s="77" t="str">
        <f>IFERROR(VLOOKUP($A639,[5]P.O.!$A:$J,3,),"")</f>
        <v>COMPOSIÇÃO</v>
      </c>
      <c r="D639" s="78" t="str">
        <f>IFERROR(VLOOKUP($A639,[5]P.O.!$A:$J,4,),"")</f>
        <v xml:space="preserve">FORNECIMENTO E INSTALAÇÃO DE CURVA HORIZONTAL 90° COM TAMPA PARA ELETROCALHA PERFURADA COM VIROLA,  50X50 MM COM TAMPA, GALVANIZADO Á QUENTE POR IMERSÃO; CHAPA: #16;  FABRICANTE: MAXTIL OU EQUIVALENTE TÉCNICO. </v>
      </c>
      <c r="E639" s="91" t="str">
        <f>IFERROR(VLOOKUP($A639,[5]P.O.!$A:$J,5,),"")</f>
        <v>UND.</v>
      </c>
      <c r="F639" s="139">
        <f>IFERROR(VLOOKUP($A639,[5]P.O.!$A:$J,6,),"")</f>
        <v>1</v>
      </c>
      <c r="G639" s="140">
        <f>IFERROR(VLOOKUP($A639,[5]P.O.!$A:$J,7,),"")</f>
        <v>23.009999999999998</v>
      </c>
      <c r="H639" s="140">
        <f>IFERROR(VLOOKUP($A639,[5]P.O.!$A:$J,8,),"")</f>
        <v>28.76</v>
      </c>
      <c r="I639" s="140">
        <f>IFERROR(VLOOKUP($A639,[5]P.O.!$A:$J,9,),"")</f>
        <v>28.76</v>
      </c>
      <c r="J639" s="159">
        <f t="shared" si="68"/>
        <v>1.3533057419576842E-5</v>
      </c>
      <c r="K639" s="145">
        <f>IFERROR(VLOOKUP($A639,[5]P.O.!$A:$J,10,),"")</f>
        <v>0.25</v>
      </c>
      <c r="L639" s="265"/>
    </row>
    <row r="640" spans="1:12" s="250" customFormat="1" ht="49.5">
      <c r="A640" s="76" t="s">
        <v>563</v>
      </c>
      <c r="B640" s="77" t="str">
        <f>IFERROR(VLOOKUP($A640,[5]P.O.!$A:$J,2,),"")</f>
        <v>COMPS36009</v>
      </c>
      <c r="C640" s="77" t="str">
        <f>IFERROR(VLOOKUP($A640,[5]P.O.!$A:$J,3,),"")</f>
        <v>COMPOSIÇÃO</v>
      </c>
      <c r="D640" s="78" t="str">
        <f>IFERROR(VLOOKUP($A640,[5]P.O.!$A:$J,4,),"")</f>
        <v xml:space="preserve">FORNECIMENTO E INSTALAÇÃO DE TE HORIZONTAL COM TAMPA PARA ELETROCALHA PERFURADA COM VIROLA,  50X50 MM COM TAMPA, GALVANIZADO Á QUENTE POR IMERSÃO; CHAPA: #16;  FABRICANTE: MAXTIL OU EQUIVALENTE TÉCNICO. </v>
      </c>
      <c r="E640" s="91" t="str">
        <f>IFERROR(VLOOKUP($A640,[5]P.O.!$A:$J,5,),"")</f>
        <v>UND.</v>
      </c>
      <c r="F640" s="139">
        <f>IFERROR(VLOOKUP($A640,[5]P.O.!$A:$J,6,),"")</f>
        <v>1</v>
      </c>
      <c r="G640" s="140">
        <f>IFERROR(VLOOKUP($A640,[5]P.O.!$A:$J,7,),"")</f>
        <v>39.57</v>
      </c>
      <c r="H640" s="140">
        <f>IFERROR(VLOOKUP($A640,[5]P.O.!$A:$J,8,),"")</f>
        <v>49.46</v>
      </c>
      <c r="I640" s="140">
        <f>IFERROR(VLOOKUP($A640,[5]P.O.!$A:$J,9,),"")</f>
        <v>49.46</v>
      </c>
      <c r="J640" s="159">
        <f t="shared" si="68"/>
        <v>2.3273470791803568E-5</v>
      </c>
      <c r="K640" s="145">
        <f>IFERROR(VLOOKUP($A640,[5]P.O.!$A:$J,10,),"")</f>
        <v>0.25</v>
      </c>
      <c r="L640" s="265"/>
    </row>
    <row r="641" spans="1:12" s="251" customFormat="1">
      <c r="A641" s="76"/>
      <c r="B641" s="77"/>
      <c r="C641" s="77"/>
      <c r="D641" s="78"/>
      <c r="E641" s="91"/>
      <c r="F641" s="139"/>
      <c r="G641" s="140"/>
      <c r="H641" s="140"/>
      <c r="I641" s="140"/>
      <c r="J641" s="159"/>
      <c r="K641" s="141"/>
    </row>
    <row r="642" spans="1:12" s="250" customFormat="1">
      <c r="A642" s="95" t="s">
        <v>564</v>
      </c>
      <c r="B642" s="110"/>
      <c r="C642" s="110"/>
      <c r="D642" s="97" t="str">
        <f>IFERROR(VLOOKUP($A642,[5]P.O.!$A:$J,4,),"")</f>
        <v>CABOS</v>
      </c>
      <c r="E642" s="96"/>
      <c r="F642" s="163"/>
      <c r="G642" s="180"/>
      <c r="H642" s="180"/>
      <c r="I642" s="180"/>
      <c r="J642" s="165"/>
      <c r="K642" s="181"/>
    </row>
    <row r="643" spans="1:12" s="251" customFormat="1" ht="33">
      <c r="A643" s="76" t="s">
        <v>565</v>
      </c>
      <c r="B643" s="77" t="str">
        <f>IFERROR(VLOOKUP($A643,[5]P.O.!$A:$J,2,),"")</f>
        <v>COMPS33110</v>
      </c>
      <c r="C643" s="77" t="str">
        <f>IFERROR(VLOOKUP($A643,[5]P.O.!$A:$J,3,),"")</f>
        <v>COMPOSIÇÃO</v>
      </c>
      <c r="D643" s="78" t="str">
        <f>IFERROR(VLOOKUP($A643,[5]P.O.!$A:$J,4,),"")</f>
        <v>FORNECIMENTO E INSTALAÇÃO DE CABO UTP, CATEG 6, COR AZUL, FAST-LAN,CAIXA COM 305 METROS FAB.; FURUKAWA OU EQUIVALENTE TÉCNICO.</v>
      </c>
      <c r="E643" s="91" t="str">
        <f>IFERROR(VLOOKUP($A643,[5]P.O.!$A:$J,5,),"")</f>
        <v>M</v>
      </c>
      <c r="F643" s="139">
        <f>IFERROR(VLOOKUP($A643,[5]P.O.!$A:$J,6,),"")</f>
        <v>1133</v>
      </c>
      <c r="G643" s="140">
        <f>IFERROR(VLOOKUP($A643,[5]P.O.!$A:$J,7,),"")</f>
        <v>6.81</v>
      </c>
      <c r="H643" s="140">
        <f>IFERROR(VLOOKUP($A643,[5]P.O.!$A:$J,8,),"")</f>
        <v>8.51</v>
      </c>
      <c r="I643" s="140">
        <f>IFERROR(VLOOKUP($A643,[5]P.O.!$A:$J,9,),"")</f>
        <v>9641.83</v>
      </c>
      <c r="J643" s="159">
        <f>IF(I643="","",I643/$E$777)</f>
        <v>4.5369763219679617E-3</v>
      </c>
      <c r="K643" s="145">
        <f>IFERROR(VLOOKUP($A643,[5]P.O.!$A:$J,10,),"")</f>
        <v>0.25</v>
      </c>
      <c r="L643" s="265"/>
    </row>
    <row r="644" spans="1:12" s="251" customFormat="1">
      <c r="A644" s="76"/>
      <c r="B644" s="77"/>
      <c r="C644" s="77"/>
      <c r="D644" s="78"/>
      <c r="E644" s="91"/>
      <c r="F644" s="139"/>
      <c r="G644" s="140"/>
      <c r="H644" s="140"/>
      <c r="I644" s="140"/>
      <c r="J644" s="159"/>
      <c r="K644" s="141"/>
    </row>
    <row r="645" spans="1:12" s="250" customFormat="1">
      <c r="A645" s="95" t="s">
        <v>566</v>
      </c>
      <c r="B645" s="110"/>
      <c r="C645" s="110"/>
      <c r="D645" s="97" t="str">
        <f>IFERROR(VLOOKUP($A645,[5]P.O.!$A:$J,4,),"")</f>
        <v>TOMADAS</v>
      </c>
      <c r="E645" s="96"/>
      <c r="F645" s="163"/>
      <c r="G645" s="180"/>
      <c r="H645" s="180"/>
      <c r="I645" s="180"/>
      <c r="J645" s="165"/>
      <c r="K645" s="181"/>
    </row>
    <row r="646" spans="1:12" s="251" customFormat="1" ht="33">
      <c r="A646" s="76" t="s">
        <v>567</v>
      </c>
      <c r="B646" s="77" t="str">
        <f>IFERROR(VLOOKUP($A646,[5]P.O.!$A:$J,2,),"")</f>
        <v>COMPS36010</v>
      </c>
      <c r="C646" s="77" t="str">
        <f>IFERROR(VLOOKUP($A646,[5]P.O.!$A:$J,3,),"")</f>
        <v>COMPOSIÇÃO</v>
      </c>
      <c r="D646" s="78" t="str">
        <f>IFERROR(VLOOKUP($A646,[5]P.O.!$A:$J,4,),"")</f>
        <v>FORNECIMENTO E INSTALAÇÃO DE TOMADA DUPLA LÓGICA RJ 45, 4"X2",EMBUTIR , COMPLETA. FURUKAWA OU EQUIVALENTE TÉCNICO.</v>
      </c>
      <c r="E646" s="91" t="str">
        <f>IFERROR(VLOOKUP($A646,[5]P.O.!$A:$J,5,),"")</f>
        <v>UND.</v>
      </c>
      <c r="F646" s="139">
        <f>IFERROR(VLOOKUP($A646,[5]P.O.!$A:$J,6,),"")</f>
        <v>31</v>
      </c>
      <c r="G646" s="140">
        <f>IFERROR(VLOOKUP($A646,[5]P.O.!$A:$J,7,),"")</f>
        <v>45.01</v>
      </c>
      <c r="H646" s="140">
        <f>IFERROR(VLOOKUP($A646,[5]P.O.!$A:$J,8,),"")</f>
        <v>56.26</v>
      </c>
      <c r="I646" s="140">
        <f>IFERROR(VLOOKUP($A646,[5]P.O.!$A:$J,9,),"")</f>
        <v>1744.06</v>
      </c>
      <c r="J646" s="159">
        <f t="shared" ref="J646:J647" si="69">IF(I646="","",I646/$E$777)</f>
        <v>8.2066982347660591E-4</v>
      </c>
      <c r="K646" s="145">
        <f>IFERROR(VLOOKUP($A646,[5]P.O.!$A:$J,10,),"")</f>
        <v>0.25</v>
      </c>
      <c r="L646" s="265"/>
    </row>
    <row r="647" spans="1:12" s="251" customFormat="1" ht="33">
      <c r="A647" s="76" t="s">
        <v>568</v>
      </c>
      <c r="B647" s="77" t="str">
        <f>IFERROR(VLOOKUP($A647,[5]P.O.!$A:$J,2,),"")</f>
        <v>COMPS36011</v>
      </c>
      <c r="C647" s="77" t="str">
        <f>IFERROR(VLOOKUP($A647,[5]P.O.!$A:$J,3,),"")</f>
        <v>COMPOSIÇÃO</v>
      </c>
      <c r="D647" s="78" t="str">
        <f>IFERROR(VLOOKUP($A647,[5]P.O.!$A:$J,4,),"")</f>
        <v>FORNECIMENTO E INSTALAÇÃO DE CONECTOR GIGALAN FEMÊA GIGALAN-CM CAT.6 BRANCO- FURUKAWA-3503030601-66, OU EQUIVALENTE TÉCNICO.</v>
      </c>
      <c r="E647" s="91" t="str">
        <f>IFERROR(VLOOKUP($A647,[5]P.O.!$A:$J,5,),"")</f>
        <v>UND.</v>
      </c>
      <c r="F647" s="139">
        <f>IFERROR(VLOOKUP($A647,[5]P.O.!$A:$J,6,),"")</f>
        <v>58</v>
      </c>
      <c r="G647" s="140">
        <f>IFERROR(VLOOKUP($A647,[5]P.O.!$A:$J,7,),"")</f>
        <v>28.089999999999996</v>
      </c>
      <c r="H647" s="140">
        <f>IFERROR(VLOOKUP($A647,[5]P.O.!$A:$J,8,),"")</f>
        <v>35.11</v>
      </c>
      <c r="I647" s="140">
        <f>IFERROR(VLOOKUP($A647,[5]P.O.!$A:$J,9,),"")</f>
        <v>2036.38</v>
      </c>
      <c r="J647" s="159">
        <f t="shared" si="69"/>
        <v>9.5822140014179035E-4</v>
      </c>
      <c r="K647" s="145">
        <f>IFERROR(VLOOKUP($A647,[5]P.O.!$A:$J,10,),"")</f>
        <v>0.25</v>
      </c>
      <c r="L647" s="265"/>
    </row>
    <row r="648" spans="1:12" s="251" customFormat="1">
      <c r="A648" s="76"/>
      <c r="B648" s="77"/>
      <c r="C648" s="77"/>
      <c r="D648" s="78"/>
      <c r="E648" s="91"/>
      <c r="F648" s="139"/>
      <c r="G648" s="140"/>
      <c r="H648" s="140"/>
      <c r="I648" s="140"/>
      <c r="J648" s="159"/>
      <c r="K648" s="141"/>
    </row>
    <row r="649" spans="1:12" s="250" customFormat="1">
      <c r="A649" s="95" t="s">
        <v>569</v>
      </c>
      <c r="B649" s="110"/>
      <c r="C649" s="110"/>
      <c r="D649" s="97" t="str">
        <f>IFERROR(VLOOKUP($A649,[5]P.O.!$A:$J,4,),"")</f>
        <v>RACK</v>
      </c>
      <c r="E649" s="96"/>
      <c r="F649" s="163"/>
      <c r="G649" s="180"/>
      <c r="H649" s="180"/>
      <c r="I649" s="180"/>
      <c r="J649" s="165"/>
      <c r="K649" s="181"/>
    </row>
    <row r="650" spans="1:12" s="251" customFormat="1" ht="33">
      <c r="A650" s="76" t="s">
        <v>570</v>
      </c>
      <c r="B650" s="77" t="str">
        <f>IFERROR(VLOOKUP($A650,[5]P.O.!$A:$J,2,),"")</f>
        <v>COMPS36012</v>
      </c>
      <c r="C650" s="77" t="str">
        <f>IFERROR(VLOOKUP($A650,[5]P.O.!$A:$J,3,),"")</f>
        <v>COMPOSIÇÃO</v>
      </c>
      <c r="D650" s="78" t="str">
        <f>IFERROR(VLOOKUP($A650,[5]P.O.!$A:$J,4,),"")</f>
        <v>FORNECIMENTO E INSTALAÇÃO DE GABINETE(RACK) W38 16X570 PORT/VIDRO SV ARE. FAB:- WOMER-LIGHT-WE OU EQ. TÉCNICO.</v>
      </c>
      <c r="E650" s="91" t="str">
        <f>IFERROR(VLOOKUP($A650,[5]P.O.!$A:$J,5,),"")</f>
        <v>PÇ</v>
      </c>
      <c r="F650" s="139">
        <f>IFERROR(VLOOKUP($A650,[5]P.O.!$A:$J,6,),"")</f>
        <v>3</v>
      </c>
      <c r="G650" s="140">
        <f>IFERROR(VLOOKUP($A650,[5]P.O.!$A:$J,7,),"")</f>
        <v>917.71</v>
      </c>
      <c r="H650" s="140">
        <f>IFERROR(VLOOKUP($A650,[5]P.O.!$A:$J,8,),"")</f>
        <v>1147.1400000000001</v>
      </c>
      <c r="I650" s="140">
        <f>IFERROR(VLOOKUP($A650,[5]P.O.!$A:$J,9,),"")</f>
        <v>3441.42</v>
      </c>
      <c r="J650" s="159">
        <f t="shared" ref="J650:J658" si="70">IF(I650="","",I650/$E$777)</f>
        <v>1.6193648979443719E-3</v>
      </c>
      <c r="K650" s="145">
        <f>IFERROR(VLOOKUP($A650,[5]P.O.!$A:$J,10,),"")</f>
        <v>0.25</v>
      </c>
      <c r="L650" s="265"/>
    </row>
    <row r="651" spans="1:12" s="251" customFormat="1" ht="33">
      <c r="A651" s="76" t="s">
        <v>571</v>
      </c>
      <c r="B651" s="77" t="str">
        <f>IFERROR(VLOOKUP($A651,[5]P.O.!$A:$J,2,),"")</f>
        <v>COMPS36013</v>
      </c>
      <c r="C651" s="77" t="str">
        <f>IFERROR(VLOOKUP($A651,[5]P.O.!$A:$J,3,),"")</f>
        <v>COMPOSIÇÃO</v>
      </c>
      <c r="D651" s="78" t="str">
        <f>IFERROR(VLOOKUP($A651,[5]P.O.!$A:$J,4,),"")</f>
        <v>FORNECIMENTO E INSTALAÇÃO DE VOICE PANEL 30 PORTAS, CAT.3- FURUKAWA 35030301-FU066, OU EQUIVALENTE TÉCNICO.</v>
      </c>
      <c r="E651" s="91" t="str">
        <f>IFERROR(VLOOKUP($A651,[5]P.O.!$A:$J,5,),"")</f>
        <v>UND</v>
      </c>
      <c r="F651" s="139">
        <f>IFERROR(VLOOKUP($A651,[5]P.O.!$A:$J,6,),"")</f>
        <v>3</v>
      </c>
      <c r="G651" s="140">
        <f>IFERROR(VLOOKUP($A651,[5]P.O.!$A:$J,7,),"")</f>
        <v>327.3</v>
      </c>
      <c r="H651" s="140">
        <f>IFERROR(VLOOKUP($A651,[5]P.O.!$A:$J,8,),"")</f>
        <v>409.13</v>
      </c>
      <c r="I651" s="140">
        <f>IFERROR(VLOOKUP($A651,[5]P.O.!$A:$J,9,),"")</f>
        <v>1227.3900000000001</v>
      </c>
      <c r="J651" s="159">
        <f t="shared" si="70"/>
        <v>5.7755004680856822E-4</v>
      </c>
      <c r="K651" s="145">
        <f>IFERROR(VLOOKUP($A651,[5]P.O.!$A:$J,10,),"")</f>
        <v>0.25</v>
      </c>
      <c r="L651" s="265"/>
    </row>
    <row r="652" spans="1:12" s="251" customFormat="1" ht="33">
      <c r="A652" s="76" t="s">
        <v>572</v>
      </c>
      <c r="B652" s="77" t="str">
        <f>IFERROR(VLOOKUP($A652,[5]P.O.!$A:$J,2,),"")</f>
        <v>COMPS36014</v>
      </c>
      <c r="C652" s="77" t="str">
        <f>IFERROR(VLOOKUP($A652,[5]P.O.!$A:$J,3,),"")</f>
        <v>COMPOSIÇÃO</v>
      </c>
      <c r="D652" s="78" t="str">
        <f>IFERROR(VLOOKUP($A652,[5]P.O.!$A:$J,4,),"")</f>
        <v>FORNECIMENTO E INSTALAÇÃO DE PATCH PAINEL GIGALAN CAT.6 24P 568A/B ROHS PRETO- FURUKAWA-3503001, OU EQUIVALENTE TÉCNICO.</v>
      </c>
      <c r="E652" s="91" t="str">
        <f>IFERROR(VLOOKUP($A652,[5]P.O.!$A:$J,5,),"")</f>
        <v>PÇ</v>
      </c>
      <c r="F652" s="139">
        <f>IFERROR(VLOOKUP($A652,[5]P.O.!$A:$J,6,),"")</f>
        <v>6</v>
      </c>
      <c r="G652" s="140">
        <f>IFERROR(VLOOKUP($A652,[5]P.O.!$A:$J,7,),"")</f>
        <v>558.15</v>
      </c>
      <c r="H652" s="140">
        <f>IFERROR(VLOOKUP($A652,[5]P.O.!$A:$J,8,),"")</f>
        <v>697.69</v>
      </c>
      <c r="I652" s="140">
        <f>IFERROR(VLOOKUP($A652,[5]P.O.!$A:$J,9,),"")</f>
        <v>4186.1400000000003</v>
      </c>
      <c r="J652" s="159">
        <f t="shared" si="70"/>
        <v>1.9697939146866273E-3</v>
      </c>
      <c r="K652" s="145">
        <f>IFERROR(VLOOKUP($A652,[5]P.O.!$A:$J,10,),"")</f>
        <v>0.25</v>
      </c>
      <c r="L652" s="265"/>
    </row>
    <row r="653" spans="1:12" s="251" customFormat="1" ht="33">
      <c r="A653" s="76" t="s">
        <v>573</v>
      </c>
      <c r="B653" s="77" t="str">
        <f>IFERROR(VLOOKUP($A653,[5]P.O.!$A:$J,2,),"")</f>
        <v>COMPS36015</v>
      </c>
      <c r="C653" s="77" t="str">
        <f>IFERROR(VLOOKUP($A653,[5]P.O.!$A:$J,3,),"")</f>
        <v>COMPOSIÇÃO</v>
      </c>
      <c r="D653" s="78" t="str">
        <f>IFERROR(VLOOKUP($A653,[5]P.O.!$A:$J,4,),"")</f>
        <v>FORNECIMENTO E INSTALAÇÃO DE PATCH CORD.GIGALAN-CM CAT.6 2,5M AZUL- FURUKAWA- 35123604-631, OU EQUIVALENTE TÉCNICO.</v>
      </c>
      <c r="E653" s="91" t="str">
        <f>IFERROR(VLOOKUP($A653,[5]P.O.!$A:$J,5,),"")</f>
        <v>PÇ</v>
      </c>
      <c r="F653" s="139">
        <f>IFERROR(VLOOKUP($A653,[5]P.O.!$A:$J,6,),"")</f>
        <v>62</v>
      </c>
      <c r="G653" s="140">
        <f>IFERROR(VLOOKUP($A653,[5]P.O.!$A:$J,7,),"")</f>
        <v>26.85</v>
      </c>
      <c r="H653" s="140">
        <f>IFERROR(VLOOKUP($A653,[5]P.O.!$A:$J,8,),"")</f>
        <v>33.56</v>
      </c>
      <c r="I653" s="140">
        <f>IFERROR(VLOOKUP($A653,[5]P.O.!$A:$J,9,),"")</f>
        <v>2080.7199999999998</v>
      </c>
      <c r="J653" s="159">
        <f t="shared" si="70"/>
        <v>9.7908564791592228E-4</v>
      </c>
      <c r="K653" s="145">
        <f>IFERROR(VLOOKUP($A653,[5]P.O.!$A:$J,10,),"")</f>
        <v>0.25</v>
      </c>
      <c r="L653" s="265"/>
    </row>
    <row r="654" spans="1:12" s="251" customFormat="1" ht="33">
      <c r="A654" s="76" t="s">
        <v>574</v>
      </c>
      <c r="B654" s="77" t="str">
        <f>IFERROR(VLOOKUP($A654,[5]P.O.!$A:$J,2,),"")</f>
        <v>COMPS36016</v>
      </c>
      <c r="C654" s="77" t="str">
        <f>IFERROR(VLOOKUP($A654,[5]P.O.!$A:$J,3,),"")</f>
        <v>COMPOSIÇÃO</v>
      </c>
      <c r="D654" s="78" t="str">
        <f>IFERROR(VLOOKUP($A654,[5]P.O.!$A:$J,4,),"")</f>
        <v>FORNECIMENTO E INSTALAÇÃO DE PATCH CORD.GIGALAN-CM CAT.6 2,5M VERMELHO- FURUKAWA- 35123604-631, OU EQUIVALENTE TÉCNICO.</v>
      </c>
      <c r="E654" s="91" t="str">
        <f>IFERROR(VLOOKUP($A654,[5]P.O.!$A:$J,5,),"")</f>
        <v>UND</v>
      </c>
      <c r="F654" s="139">
        <f>IFERROR(VLOOKUP($A654,[5]P.O.!$A:$J,6,),"")</f>
        <v>62</v>
      </c>
      <c r="G654" s="140">
        <f>IFERROR(VLOOKUP($A654,[5]P.O.!$A:$J,7,),"")</f>
        <v>26.85</v>
      </c>
      <c r="H654" s="140">
        <f>IFERROR(VLOOKUP($A654,[5]P.O.!$A:$J,8,),"")</f>
        <v>33.56</v>
      </c>
      <c r="I654" s="140">
        <f>IFERROR(VLOOKUP($A654,[5]P.O.!$A:$J,9,),"")</f>
        <v>2080.7199999999998</v>
      </c>
      <c r="J654" s="159">
        <f t="shared" si="70"/>
        <v>9.7908564791592228E-4</v>
      </c>
      <c r="K654" s="145">
        <f>IFERROR(VLOOKUP($A654,[5]P.O.!$A:$J,10,),"")</f>
        <v>0.25</v>
      </c>
      <c r="L654" s="265"/>
    </row>
    <row r="655" spans="1:12" s="251" customFormat="1" ht="33">
      <c r="A655" s="76" t="s">
        <v>575</v>
      </c>
      <c r="B655" s="77" t="str">
        <f>IFERROR(VLOOKUP($A655,[5]P.O.!$A:$J,2,),"")</f>
        <v>COMPS36017</v>
      </c>
      <c r="C655" s="77" t="str">
        <f>IFERROR(VLOOKUP($A655,[5]P.O.!$A:$J,3,),"")</f>
        <v>COMPOSIÇÃO</v>
      </c>
      <c r="D655" s="78" t="str">
        <f>IFERROR(VLOOKUP($A655,[5]P.O.!$A:$J,4,),"")</f>
        <v>FORNECIMENTO E INSTALAÇÃO DE SWITCH 24 PORTAS 10/100 19"+ QOS INTELBRAS - SF2400QR- 11507 - FAST ETHERNET FAB.: INTELBRAS OU EQUIVALENTE TÉCNICO.</v>
      </c>
      <c r="E655" s="91" t="str">
        <f>IFERROR(VLOOKUP($A655,[5]P.O.!$A:$J,5,),"")</f>
        <v>PÇ</v>
      </c>
      <c r="F655" s="139">
        <f>IFERROR(VLOOKUP($A655,[5]P.O.!$A:$J,6,),"")</f>
        <v>5</v>
      </c>
      <c r="G655" s="140">
        <f>IFERROR(VLOOKUP($A655,[5]P.O.!$A:$J,7,),"")</f>
        <v>218.16</v>
      </c>
      <c r="H655" s="140">
        <f>IFERROR(VLOOKUP($A655,[5]P.O.!$A:$J,8,),"")</f>
        <v>272.7</v>
      </c>
      <c r="I655" s="140">
        <f>IFERROR(VLOOKUP($A655,[5]P.O.!$A:$J,9,),"")</f>
        <v>1363.5</v>
      </c>
      <c r="J655" s="159">
        <f t="shared" si="70"/>
        <v>6.4159679386623862E-4</v>
      </c>
      <c r="K655" s="145">
        <f>IFERROR(VLOOKUP($A655,[5]P.O.!$A:$J,10,),"")</f>
        <v>0.25</v>
      </c>
      <c r="L655" s="265"/>
    </row>
    <row r="656" spans="1:12" s="251" customFormat="1" ht="33">
      <c r="A656" s="76" t="s">
        <v>576</v>
      </c>
      <c r="B656" s="77" t="str">
        <f>IFERROR(VLOOKUP($A656,[5]P.O.!$A:$J,2,),"")</f>
        <v>COMPS36018</v>
      </c>
      <c r="C656" s="77" t="str">
        <f>IFERROR(VLOOKUP($A656,[5]P.O.!$A:$J,3,),"")</f>
        <v>COMPOSIÇÃO</v>
      </c>
      <c r="D656" s="78" t="str">
        <f>IFERROR(VLOOKUP($A656,[5]P.O.!$A:$J,4,),"")</f>
        <v>FORNECIMENTO E INSTALAÇÃO DE GUIA DE CABOS FECHADO HORIZONTAL 1UX69X19" - FURUKAWA - 351- 6678R. OU EQUIVALENTE TÉCNICO.</v>
      </c>
      <c r="E656" s="91" t="str">
        <f>IFERROR(VLOOKUP($A656,[5]P.O.!$A:$J,5,),"")</f>
        <v>PÇ</v>
      </c>
      <c r="F656" s="139">
        <f>IFERROR(VLOOKUP($A656,[5]P.O.!$A:$J,6,),"")</f>
        <v>9</v>
      </c>
      <c r="G656" s="140">
        <f>IFERROR(VLOOKUP($A656,[5]P.O.!$A:$J,7,),"")</f>
        <v>19.419999999999998</v>
      </c>
      <c r="H656" s="140">
        <f>IFERROR(VLOOKUP($A656,[5]P.O.!$A:$J,8,),"")</f>
        <v>24.28</v>
      </c>
      <c r="I656" s="140">
        <f>IFERROR(VLOOKUP($A656,[5]P.O.!$A:$J,9,),"")</f>
        <v>218.52</v>
      </c>
      <c r="J656" s="159">
        <f t="shared" si="70"/>
        <v>1.0282488551202822E-4</v>
      </c>
      <c r="K656" s="145">
        <f>IFERROR(VLOOKUP($A656,[5]P.O.!$A:$J,10,),"")</f>
        <v>0.25</v>
      </c>
      <c r="L656" s="265"/>
    </row>
    <row r="657" spans="1:12" s="250" customFormat="1" ht="33">
      <c r="A657" s="76" t="s">
        <v>577</v>
      </c>
      <c r="B657" s="77" t="str">
        <f>IFERROR(VLOOKUP($A657,[5]P.O.!$A:$J,2,),"")</f>
        <v>COMPS36019</v>
      </c>
      <c r="C657" s="77" t="str">
        <f>IFERROR(VLOOKUP($A657,[5]P.O.!$A:$J,3,),"")</f>
        <v>COMPOSIÇÃO</v>
      </c>
      <c r="D657" s="78" t="str">
        <f>IFERROR(VLOOKUP($A657,[5]P.O.!$A:$J,4,),"")</f>
        <v>FORNECIMENTO E INSTALAÇÃO DE ETIQUETA LAT 1000"X1330" (25.40MMX33.78MM) C/1.000 ET- LAT- 18 - 361-1- 1BRADY - BD001, OU EQUIVALENTE TÉCNICO.</v>
      </c>
      <c r="E657" s="91" t="str">
        <f>IFERROR(VLOOKUP($A657,[5]P.O.!$A:$J,5,),"")</f>
        <v>PÇ</v>
      </c>
      <c r="F657" s="139">
        <f>IFERROR(VLOOKUP($A657,[5]P.O.!$A:$J,6,),"")</f>
        <v>116</v>
      </c>
      <c r="G657" s="140">
        <f>IFERROR(VLOOKUP($A657,[5]P.O.!$A:$J,7,),"")</f>
        <v>360.33</v>
      </c>
      <c r="H657" s="140">
        <f>IFERROR(VLOOKUP($A657,[5]P.O.!$A:$J,8,),"")</f>
        <v>450.41</v>
      </c>
      <c r="I657" s="140">
        <f>IFERROR(VLOOKUP($A657,[5]P.O.!$A:$J,9,),"")</f>
        <v>52247.56</v>
      </c>
      <c r="J657" s="159">
        <f t="shared" si="70"/>
        <v>2.458516097054194E-2</v>
      </c>
      <c r="K657" s="145">
        <f>IFERROR(VLOOKUP($A657,[5]P.O.!$A:$J,10,),"")</f>
        <v>0.25</v>
      </c>
      <c r="L657" s="265"/>
    </row>
    <row r="658" spans="1:12" s="251" customFormat="1">
      <c r="A658" s="76" t="s">
        <v>578</v>
      </c>
      <c r="B658" s="77" t="str">
        <f>IFERROR(VLOOKUP($A658,[5]P.O.!$A:$J,2,),"")</f>
        <v>COMPS36020</v>
      </c>
      <c r="C658" s="77" t="str">
        <f>IFERROR(VLOOKUP($A658,[5]P.O.!$A:$J,3,),"")</f>
        <v>COMPOSIÇÃO</v>
      </c>
      <c r="D658" s="78" t="str">
        <f>IFERROR(VLOOKUP($A658,[5]P.O.!$A:$J,4,),"")</f>
        <v>FORNECIMENTO E INSTALAÇÃO DE ETIQUETAS DE IDENTIFICAÇÃO DOS PONTOS NAS TOMADAS.</v>
      </c>
      <c r="E658" s="91" t="str">
        <f>IFERROR(VLOOKUP($A658,[5]P.O.!$A:$J,5,),"")</f>
        <v>PÇ</v>
      </c>
      <c r="F658" s="139">
        <f>IFERROR(VLOOKUP($A658,[5]P.O.!$A:$J,6,),"")</f>
        <v>1</v>
      </c>
      <c r="G658" s="140">
        <f>IFERROR(VLOOKUP($A658,[5]P.O.!$A:$J,7,),"")</f>
        <v>1.62</v>
      </c>
      <c r="H658" s="140">
        <f>IFERROR(VLOOKUP($A658,[5]P.O.!$A:$J,8,),"")</f>
        <v>2.0299999999999998</v>
      </c>
      <c r="I658" s="140">
        <f>IFERROR(VLOOKUP($A658,[5]P.O.!$A:$J,9,),"")</f>
        <v>2.0299999999999998</v>
      </c>
      <c r="J658" s="159">
        <f t="shared" si="70"/>
        <v>9.5521928239711365E-7</v>
      </c>
      <c r="K658" s="145">
        <f>IFERROR(VLOOKUP($A658,[5]P.O.!$A:$J,10,),"")</f>
        <v>0.25</v>
      </c>
      <c r="L658" s="265"/>
    </row>
    <row r="659" spans="1:12" s="251" customFormat="1">
      <c r="A659" s="76"/>
      <c r="B659" s="77"/>
      <c r="C659" s="77"/>
      <c r="D659" s="78"/>
      <c r="E659" s="91"/>
      <c r="F659" s="139"/>
      <c r="G659" s="140"/>
      <c r="H659" s="140"/>
      <c r="I659" s="140"/>
      <c r="J659" s="159"/>
      <c r="K659" s="141"/>
    </row>
    <row r="660" spans="1:12" s="251" customFormat="1">
      <c r="A660" s="76"/>
      <c r="B660" s="77"/>
      <c r="C660" s="77"/>
      <c r="D660" s="78"/>
      <c r="E660" s="91"/>
      <c r="F660" s="139"/>
      <c r="G660" s="140"/>
      <c r="H660" s="140"/>
      <c r="I660" s="140"/>
      <c r="J660" s="159"/>
      <c r="K660" s="141"/>
    </row>
    <row r="661" spans="1:12" s="228" customFormat="1">
      <c r="A661" s="5" t="s">
        <v>150</v>
      </c>
      <c r="B661" s="24"/>
      <c r="C661" s="24"/>
      <c r="D661" s="31" t="s">
        <v>8</v>
      </c>
      <c r="E661" s="127"/>
      <c r="F661" s="128"/>
      <c r="G661" s="129"/>
      <c r="H661" s="129"/>
      <c r="I661" s="129">
        <f>I663+I681+I712</f>
        <v>14919.3</v>
      </c>
      <c r="J661" s="227">
        <f>IF(I661="","",I661/$E$777)</f>
        <v>7.0202970639740188E-3</v>
      </c>
      <c r="K661" s="130"/>
    </row>
    <row r="662" spans="1:12" s="228" customFormat="1">
      <c r="A662" s="73"/>
      <c r="B662" s="74"/>
      <c r="C662" s="74"/>
      <c r="D662" s="75"/>
      <c r="E662" s="131"/>
      <c r="F662" s="132"/>
      <c r="G662" s="133"/>
      <c r="H662" s="133"/>
      <c r="I662" s="133"/>
      <c r="J662" s="229"/>
      <c r="K662" s="134"/>
    </row>
    <row r="663" spans="1:12" s="231" customFormat="1">
      <c r="A663" s="6" t="s">
        <v>151</v>
      </c>
      <c r="B663" s="25"/>
      <c r="C663" s="25"/>
      <c r="D663" s="32" t="str">
        <f>IFERROR(VLOOKUP($A663,[6]P.O.!$A:$J,4,),"")</f>
        <v>ÁGUAS PLUVIAIS</v>
      </c>
      <c r="E663" s="135"/>
      <c r="F663" s="136"/>
      <c r="G663" s="137"/>
      <c r="H663" s="137"/>
      <c r="I663" s="137">
        <f>SUM(I664:I680)</f>
        <v>4786.38</v>
      </c>
      <c r="J663" s="230">
        <f>IF(I663="","",I663/$E$777)</f>
        <v>2.252237669398964E-3</v>
      </c>
      <c r="K663" s="138"/>
    </row>
    <row r="664" spans="1:12" s="232" customFormat="1">
      <c r="A664" s="76"/>
      <c r="B664" s="77"/>
      <c r="C664" s="77"/>
      <c r="D664" s="78"/>
      <c r="E664" s="91"/>
      <c r="F664" s="139"/>
      <c r="G664" s="140"/>
      <c r="H664" s="140"/>
      <c r="I664" s="140"/>
      <c r="J664" s="159"/>
      <c r="K664" s="141"/>
    </row>
    <row r="665" spans="1:12" s="232" customFormat="1">
      <c r="A665" s="76" t="s">
        <v>152</v>
      </c>
      <c r="B665" s="77" t="str">
        <f>IFERROR(VLOOKUP($A665,[6]P.O.!$A:$J,2,),"")</f>
        <v>COMPS27019</v>
      </c>
      <c r="C665" s="77" t="str">
        <f>IFERROR(VLOOKUP($A665,[6]P.O.!$A:$J,3,),"")</f>
        <v>COMPOSIÇÃO</v>
      </c>
      <c r="D665" s="78" t="str">
        <f>IFERROR(VLOOKUP($A665,[6]P.O.!$A:$J,4,),"")</f>
        <v>FORNECIMENTO E INSTALAÇÃO DE TUBO PVC ESG SERIE NORMAL  150MM</v>
      </c>
      <c r="E665" s="91" t="str">
        <f>IFERROR(VLOOKUP($A665,[6]P.O.!$A:$J,5,),"")</f>
        <v>M</v>
      </c>
      <c r="F665" s="139">
        <f>IFERROR(VLOOKUP($A665,[6]P.O.!$A:$J,6,),"")</f>
        <v>21.72</v>
      </c>
      <c r="G665" s="140">
        <f>IFERROR(VLOOKUP($A665,[6]P.O.!$A:$J,7,),"")</f>
        <v>35.53</v>
      </c>
      <c r="H665" s="140">
        <f>IFERROR(VLOOKUP($A665,[6]P.O.!$A:$J,8,),"")</f>
        <v>44.41</v>
      </c>
      <c r="I665" s="140">
        <f>IFERROR(VLOOKUP($A665,[6]P.O.!$A:$J,9,),"")</f>
        <v>964.59</v>
      </c>
      <c r="J665" s="159">
        <f t="shared" ref="J665:J679" si="71">IF(I665="","",I665/$E$777)</f>
        <v>4.5388914660464625E-4</v>
      </c>
      <c r="K665" s="145">
        <f>IFERROR(VLOOKUP($A665,[6]P.O.!$A:$J,10,),"")</f>
        <v>0.25</v>
      </c>
      <c r="L665" s="265"/>
    </row>
    <row r="666" spans="1:12" s="232" customFormat="1">
      <c r="A666" s="76" t="s">
        <v>153</v>
      </c>
      <c r="B666" s="77" t="str">
        <f>IFERROR(VLOOKUP($A666,[6]P.O.!$A:$J,2,),"")</f>
        <v>COMPS27017</v>
      </c>
      <c r="C666" s="77" t="str">
        <f>IFERROR(VLOOKUP($A666,[6]P.O.!$A:$J,3,),"")</f>
        <v>COMPOSIÇÃO</v>
      </c>
      <c r="D666" s="78" t="str">
        <f>IFERROR(VLOOKUP($A666,[6]P.O.!$A:$J,4,),"")</f>
        <v>FORNECIMENTO E INSTALAÇÃO DE TUBO PVC ESG SERIE NORMAL  40MM</v>
      </c>
      <c r="E666" s="91" t="str">
        <f>IFERROR(VLOOKUP($A666,[6]P.O.!$A:$J,5,),"")</f>
        <v>M</v>
      </c>
      <c r="F666" s="139">
        <f>IFERROR(VLOOKUP($A666,[6]P.O.!$A:$J,6,),"")</f>
        <v>20.04</v>
      </c>
      <c r="G666" s="140">
        <f>IFERROR(VLOOKUP($A666,[6]P.O.!$A:$J,7,),"")</f>
        <v>10.11</v>
      </c>
      <c r="H666" s="140">
        <f>IFERROR(VLOOKUP($A666,[6]P.O.!$A:$J,8,),"")</f>
        <v>12.64</v>
      </c>
      <c r="I666" s="140">
        <f>IFERROR(VLOOKUP($A666,[6]P.O.!$A:$J,9,),"")</f>
        <v>253.31</v>
      </c>
      <c r="J666" s="159">
        <f t="shared" si="71"/>
        <v>1.1919536769655806E-4</v>
      </c>
      <c r="K666" s="145">
        <f>IFERROR(VLOOKUP($A666,[6]P.O.!$A:$J,10,),"")</f>
        <v>0.25</v>
      </c>
      <c r="L666" s="265"/>
    </row>
    <row r="667" spans="1:12" s="232" customFormat="1" ht="33">
      <c r="A667" s="76" t="s">
        <v>579</v>
      </c>
      <c r="B667" s="77">
        <f>IFERROR(VLOOKUP($A667,[6]P.O.!$A:$J,2,),"")</f>
        <v>89800</v>
      </c>
      <c r="C667" s="77" t="str">
        <f>IFERROR(VLOOKUP($A667,[6]P.O.!$A:$J,3,),"")</f>
        <v>SINAPI SERVIÇO</v>
      </c>
      <c r="D667" s="78" t="str">
        <f>IFERROR(VLOOKUP($A667,[6]P.O.!$A:$J,4,),"")</f>
        <v>TUBO PVC, SERIE NORMAL, ESGOTO PREDIAL, DN 100 MM, FORNECIDO E INSTALADO EM PRUMADA DE ESGOTO SANITÁRIO OU VENTILAÇÃO. AF_12/2014_P</v>
      </c>
      <c r="E667" s="91" t="str">
        <f>IFERROR(VLOOKUP($A667,[6]P.O.!$A:$J,5,),"")</f>
        <v>M</v>
      </c>
      <c r="F667" s="139">
        <f>IFERROR(VLOOKUP($A667,[6]P.O.!$A:$J,6,),"")</f>
        <v>45.55</v>
      </c>
      <c r="G667" s="140">
        <f>IFERROR(VLOOKUP($A667,[6]P.O.!$A:$J,7,),"")</f>
        <v>14</v>
      </c>
      <c r="H667" s="140">
        <f>IFERROR(VLOOKUP($A667,[6]P.O.!$A:$J,8,),"")</f>
        <v>17.5</v>
      </c>
      <c r="I667" s="140">
        <f>IFERROR(VLOOKUP($A667,[6]P.O.!$A:$J,9,),"")</f>
        <v>797.13</v>
      </c>
      <c r="J667" s="159">
        <f t="shared" si="71"/>
        <v>3.7509061407744397E-4</v>
      </c>
      <c r="K667" s="145">
        <f>IFERROR(VLOOKUP($A667,[6]P.O.!$A:$J,10,),"")</f>
        <v>0.25</v>
      </c>
      <c r="L667" s="265"/>
    </row>
    <row r="668" spans="1:12" s="232" customFormat="1">
      <c r="A668" s="76" t="s">
        <v>580</v>
      </c>
      <c r="B668" s="77" t="str">
        <f>IFERROR(VLOOKUP($A668,[6]P.O.!$A:$J,2,),"")</f>
        <v>COMPS27018</v>
      </c>
      <c r="C668" s="77" t="str">
        <f>IFERROR(VLOOKUP($A668,[6]P.O.!$A:$J,3,),"")</f>
        <v>COMPOSIÇÃO</v>
      </c>
      <c r="D668" s="78" t="str">
        <f>IFERROR(VLOOKUP($A668,[6]P.O.!$A:$J,4,),"")</f>
        <v>FORNECIMENTO E INSTALAÇÃO DE TUBO PVC ESG SERIE NORMAL  50MM</v>
      </c>
      <c r="E668" s="91" t="str">
        <f>IFERROR(VLOOKUP($A668,[6]P.O.!$A:$J,5,),"")</f>
        <v>M</v>
      </c>
      <c r="F668" s="139">
        <f>IFERROR(VLOOKUP($A668,[6]P.O.!$A:$J,6,),"")</f>
        <v>3.38</v>
      </c>
      <c r="G668" s="140">
        <f>IFERROR(VLOOKUP($A668,[6]P.O.!$A:$J,7,),"")</f>
        <v>14.190000000000001</v>
      </c>
      <c r="H668" s="140">
        <f>IFERROR(VLOOKUP($A668,[6]P.O.!$A:$J,8,),"")</f>
        <v>17.739999999999998</v>
      </c>
      <c r="I668" s="140">
        <f>IFERROR(VLOOKUP($A668,[6]P.O.!$A:$J,9,),"")</f>
        <v>59.96</v>
      </c>
      <c r="J668" s="159">
        <f t="shared" si="71"/>
        <v>2.8214260183512777E-5</v>
      </c>
      <c r="K668" s="145">
        <f>IFERROR(VLOOKUP($A668,[6]P.O.!$A:$J,10,),"")</f>
        <v>0.25</v>
      </c>
      <c r="L668" s="265"/>
    </row>
    <row r="669" spans="1:12" s="232" customFormat="1" ht="33">
      <c r="A669" s="76" t="s">
        <v>581</v>
      </c>
      <c r="B669" s="77" t="str">
        <f>IFERROR(VLOOKUP($A669,[6]P.O.!$A:$J,2,),"")</f>
        <v>COMPS27020</v>
      </c>
      <c r="C669" s="77" t="str">
        <f>IFERROR(VLOOKUP($A669,[6]P.O.!$A:$J,3,),"")</f>
        <v>COMPOSIÇÃO</v>
      </c>
      <c r="D669" s="78" t="str">
        <f>IFERROR(VLOOKUP($A669,[6]P.O.!$A:$J,4,),"")</f>
        <v>FORNECIMENTO E INSTALAÇÃO DE CAIXA SIFONADA DE 100X150X50MM /FAB.: TIGRE OU EQUIVANTE TÉCNICO, INCLUSIVE GRELHA E PORTA GRELHA</v>
      </c>
      <c r="E669" s="91" t="str">
        <f>IFERROR(VLOOKUP($A669,[6]P.O.!$A:$J,5,),"")</f>
        <v>PÇ</v>
      </c>
      <c r="F669" s="139">
        <f>IFERROR(VLOOKUP($A669,[6]P.O.!$A:$J,6,),"")</f>
        <v>20</v>
      </c>
      <c r="G669" s="140">
        <f>IFERROR(VLOOKUP($A669,[6]P.O.!$A:$J,7,),"")</f>
        <v>25.160000000000004</v>
      </c>
      <c r="H669" s="140">
        <f>IFERROR(VLOOKUP($A669,[6]P.O.!$A:$J,8,),"")</f>
        <v>31.45</v>
      </c>
      <c r="I669" s="140">
        <f>IFERROR(VLOOKUP($A669,[6]P.O.!$A:$J,9,),"")</f>
        <v>629</v>
      </c>
      <c r="J669" s="159">
        <f t="shared" si="71"/>
        <v>2.9597681213191357E-4</v>
      </c>
      <c r="K669" s="145">
        <f>IFERROR(VLOOKUP($A669,[6]P.O.!$A:$J,10,),"")</f>
        <v>0.25</v>
      </c>
      <c r="L669" s="265"/>
    </row>
    <row r="670" spans="1:12" s="232" customFormat="1" ht="33">
      <c r="A670" s="76" t="s">
        <v>582</v>
      </c>
      <c r="B670" s="77">
        <f>IFERROR(VLOOKUP($A670,[6]P.O.!$A:$J,2,),"")</f>
        <v>89491</v>
      </c>
      <c r="C670" s="77" t="str">
        <f>IFERROR(VLOOKUP($A670,[6]P.O.!$A:$J,3,),"")</f>
        <v>SINAPI SERVIÇO</v>
      </c>
      <c r="D670" s="78" t="str">
        <f>IFERROR(VLOOKUP($A670,[6]P.O.!$A:$J,4,),"")</f>
        <v>CAIXA SIFONADA, PVC, DN 150 X 185 X 75 MM, FORNECIDA E INSTALADA EM RA   MAIS DE ENCAMINHAMENTO DE ÁGUA PLUVIAL. AF_12/2014_P</v>
      </c>
      <c r="E670" s="91" t="str">
        <f>IFERROR(VLOOKUP($A670,[6]P.O.!$A:$J,5,),"")</f>
        <v>UN</v>
      </c>
      <c r="F670" s="139">
        <f>IFERROR(VLOOKUP($A670,[6]P.O.!$A:$J,6,),"")</f>
        <v>7</v>
      </c>
      <c r="G670" s="140">
        <f>IFERROR(VLOOKUP($A670,[6]P.O.!$A:$J,7,),"")</f>
        <v>40.869999999999997</v>
      </c>
      <c r="H670" s="140">
        <f>IFERROR(VLOOKUP($A670,[6]P.O.!$A:$J,8,),"")</f>
        <v>51.09</v>
      </c>
      <c r="I670" s="140">
        <f>IFERROR(VLOOKUP($A670,[6]P.O.!$A:$J,9,),"")</f>
        <v>357.63</v>
      </c>
      <c r="J670" s="159">
        <f t="shared" si="71"/>
        <v>1.6828328668161565E-4</v>
      </c>
      <c r="K670" s="145">
        <f>IFERROR(VLOOKUP($A670,[6]P.O.!$A:$J,10,),"")</f>
        <v>0.25</v>
      </c>
      <c r="L670" s="265"/>
    </row>
    <row r="671" spans="1:12" s="232" customFormat="1" ht="33">
      <c r="A671" s="76" t="s">
        <v>583</v>
      </c>
      <c r="B671" s="77">
        <f>IFERROR(VLOOKUP($A671,[6]P.O.!$A:$J,2,),"")</f>
        <v>89482</v>
      </c>
      <c r="C671" s="77" t="str">
        <f>IFERROR(VLOOKUP($A671,[6]P.O.!$A:$J,3,),"")</f>
        <v>SINAPI SERVIÇO</v>
      </c>
      <c r="D671" s="78" t="str">
        <f>IFERROR(VLOOKUP($A671,[6]P.O.!$A:$J,4,),"")</f>
        <v>CAIXA SIFONADA, PVC, DN 100 X 100 X 50 MM, FORNECIDA E INSTALADA EM RAMAIS DE ENCAMINHAMENTO DE ÁGUA PLUVIAL. AF_12/2014_P</v>
      </c>
      <c r="E671" s="91" t="str">
        <f>IFERROR(VLOOKUP($A671,[6]P.O.!$A:$J,5,),"")</f>
        <v>UN</v>
      </c>
      <c r="F671" s="139">
        <f>IFERROR(VLOOKUP($A671,[6]P.O.!$A:$J,6,),"")</f>
        <v>4</v>
      </c>
      <c r="G671" s="140">
        <f>IFERROR(VLOOKUP($A671,[6]P.O.!$A:$J,7,),"")</f>
        <v>16.38</v>
      </c>
      <c r="H671" s="140">
        <f>IFERROR(VLOOKUP($A671,[6]P.O.!$A:$J,8,),"")</f>
        <v>20.48</v>
      </c>
      <c r="I671" s="140">
        <f>IFERROR(VLOOKUP($A671,[6]P.O.!$A:$J,9,),"")</f>
        <v>81.92</v>
      </c>
      <c r="J671" s="159">
        <f t="shared" si="71"/>
        <v>3.8547568282744608E-5</v>
      </c>
      <c r="K671" s="145">
        <f>IFERROR(VLOOKUP($A671,[6]P.O.!$A:$J,10,),"")</f>
        <v>0.25</v>
      </c>
      <c r="L671" s="265"/>
    </row>
    <row r="672" spans="1:12" s="232" customFormat="1" ht="49.5">
      <c r="A672" s="76" t="s">
        <v>584</v>
      </c>
      <c r="B672" s="77">
        <f>IFERROR(VLOOKUP($A672,[6]P.O.!$A:$J,2,),"")</f>
        <v>89726</v>
      </c>
      <c r="C672" s="77" t="str">
        <f>IFERROR(VLOOKUP($A672,[6]P.O.!$A:$J,3,),"")</f>
        <v>SINAPI SERVIÇO</v>
      </c>
      <c r="D672" s="78" t="str">
        <f>IFERROR(VLOOKUP($A672,[6]P.O.!$A:$J,4,),"")</f>
        <v>JOELHO 45 GRAUS, PVC, SERIE NORMAL, ESGOTO PREDIAL, DN 40 MM, JUNTA SOLDÁVEL, FORNECIDO E INSTALADO EM RAMAL DE DESCARGA OU RAMAL DE ESGOTOSANITÁRIO. AF_12/2014_P</v>
      </c>
      <c r="E672" s="91" t="str">
        <f>IFERROR(VLOOKUP($A672,[6]P.O.!$A:$J,5,),"")</f>
        <v>UN</v>
      </c>
      <c r="F672" s="139">
        <f>IFERROR(VLOOKUP($A672,[6]P.O.!$A:$J,6,),"")</f>
        <v>11</v>
      </c>
      <c r="G672" s="140">
        <f>IFERROR(VLOOKUP($A672,[6]P.O.!$A:$J,7,),"")</f>
        <v>5.21</v>
      </c>
      <c r="H672" s="140">
        <f>IFERROR(VLOOKUP($A672,[6]P.O.!$A:$J,8,),"")</f>
        <v>6.51</v>
      </c>
      <c r="I672" s="140">
        <f>IFERROR(VLOOKUP($A672,[6]P.O.!$A:$J,9,),"")</f>
        <v>71.61</v>
      </c>
      <c r="J672" s="159">
        <f t="shared" si="71"/>
        <v>3.3696183651456805E-5</v>
      </c>
      <c r="K672" s="145">
        <f>IFERROR(VLOOKUP($A672,[6]P.O.!$A:$J,10,),"")</f>
        <v>0.25</v>
      </c>
      <c r="L672" s="265"/>
    </row>
    <row r="673" spans="1:12" s="232" customFormat="1" ht="49.5">
      <c r="A673" s="76" t="s">
        <v>585</v>
      </c>
      <c r="B673" s="77">
        <f>IFERROR(VLOOKUP($A673,[6]P.O.!$A:$J,2,),"")</f>
        <v>89746</v>
      </c>
      <c r="C673" s="77" t="str">
        <f>IFERROR(VLOOKUP($A673,[6]P.O.!$A:$J,3,),"")</f>
        <v>SINAPI SERVIÇO</v>
      </c>
      <c r="D673" s="78" t="str">
        <f>IFERROR(VLOOKUP($A673,[6]P.O.!$A:$J,4,),"")</f>
        <v>JOELHO 45 GRAUS, PVC, SERIE NORMAL, ESGOTO PREDIAL, DN 100 MM, JUNTA ELÁSTICA, FORNECIDO E INSTALADO EM RAMAL DE DESCARGA OU RAMAL DE ESGOTOSANITÁRIO. AF_12/2014</v>
      </c>
      <c r="E673" s="91" t="str">
        <f>IFERROR(VLOOKUP($A673,[6]P.O.!$A:$J,5,),"")</f>
        <v>UN</v>
      </c>
      <c r="F673" s="139">
        <f>IFERROR(VLOOKUP($A673,[6]P.O.!$A:$J,6,),"")</f>
        <v>5</v>
      </c>
      <c r="G673" s="140">
        <f>IFERROR(VLOOKUP($A673,[6]P.O.!$A:$J,7,),"")</f>
        <v>15.3</v>
      </c>
      <c r="H673" s="140">
        <f>IFERROR(VLOOKUP($A673,[6]P.O.!$A:$J,8,),"")</f>
        <v>19.13</v>
      </c>
      <c r="I673" s="140">
        <f>IFERROR(VLOOKUP($A673,[6]P.O.!$A:$J,9,),"")</f>
        <v>95.65</v>
      </c>
      <c r="J673" s="159">
        <f t="shared" si="71"/>
        <v>4.5008238601617698E-5</v>
      </c>
      <c r="K673" s="145">
        <f>IFERROR(VLOOKUP($A673,[6]P.O.!$A:$J,10,),"")</f>
        <v>0.25</v>
      </c>
      <c r="L673" s="265"/>
    </row>
    <row r="674" spans="1:12" s="232" customFormat="1" ht="49.5">
      <c r="A674" s="76" t="s">
        <v>586</v>
      </c>
      <c r="B674" s="77">
        <f>IFERROR(VLOOKUP($A674,[6]P.O.!$A:$J,2,),"")</f>
        <v>89732</v>
      </c>
      <c r="C674" s="77" t="str">
        <f>IFERROR(VLOOKUP($A674,[6]P.O.!$A:$J,3,),"")</f>
        <v>SINAPI SERVIÇO</v>
      </c>
      <c r="D674" s="78" t="str">
        <f>IFERROR(VLOOKUP($A674,[6]P.O.!$A:$J,4,),"")</f>
        <v>JOELHO 45 GRAUS, PVC, SERIE NORMAL, ESGOTO PREDIAL, DN 50 MM, JUNTA ELÁSTICA, FORNECIDO E INSTALADO EM RAMAL DE DESCARGA OU RAMAL DE ESGOTO SANITÁRIO. AF_12/2014</v>
      </c>
      <c r="E674" s="91" t="str">
        <f>IFERROR(VLOOKUP($A674,[6]P.O.!$A:$J,5,),"")</f>
        <v>UN</v>
      </c>
      <c r="F674" s="139">
        <f>IFERROR(VLOOKUP($A674,[6]P.O.!$A:$J,6,),"")</f>
        <v>3</v>
      </c>
      <c r="G674" s="140">
        <f>IFERROR(VLOOKUP($A674,[6]P.O.!$A:$J,7,),"")</f>
        <v>7.37</v>
      </c>
      <c r="H674" s="140">
        <f>IFERROR(VLOOKUP($A674,[6]P.O.!$A:$J,8,),"")</f>
        <v>9.2100000000000009</v>
      </c>
      <c r="I674" s="140">
        <f>IFERROR(VLOOKUP($A674,[6]P.O.!$A:$J,9,),"")</f>
        <v>27.63</v>
      </c>
      <c r="J674" s="159">
        <f t="shared" si="71"/>
        <v>1.3001334370754803E-5</v>
      </c>
      <c r="K674" s="145">
        <f>IFERROR(VLOOKUP($A674,[6]P.O.!$A:$J,10,),"")</f>
        <v>0.25</v>
      </c>
      <c r="L674" s="265"/>
    </row>
    <row r="675" spans="1:12" s="232" customFormat="1" ht="49.5">
      <c r="A675" s="76" t="s">
        <v>587</v>
      </c>
      <c r="B675" s="77">
        <f>IFERROR(VLOOKUP($A675,[6]P.O.!$A:$J,2,),"")</f>
        <v>89744</v>
      </c>
      <c r="C675" s="77" t="str">
        <f>IFERROR(VLOOKUP($A675,[6]P.O.!$A:$J,3,),"")</f>
        <v>SINAPI SERVIÇO</v>
      </c>
      <c r="D675" s="78" t="str">
        <f>IFERROR(VLOOKUP($A675,[6]P.O.!$A:$J,4,),"")</f>
        <v>JOELHO 90 GRAUS, PVC, SERIE NORMAL, ESGOTO PREDIAL, DN 100 MM, JUNTA ELÁSTICA, FORNECIDO E INSTALADO EM RAMAL DE DESCARGA OU RAMAL DE ESGOTOSANITÁRIO. AF_12/2014</v>
      </c>
      <c r="E675" s="91" t="str">
        <f>IFERROR(VLOOKUP($A675,[6]P.O.!$A:$J,5,),"")</f>
        <v>UN</v>
      </c>
      <c r="F675" s="139">
        <f>IFERROR(VLOOKUP($A675,[6]P.O.!$A:$J,6,),"")</f>
        <v>21</v>
      </c>
      <c r="G675" s="140">
        <f>IFERROR(VLOOKUP($A675,[6]P.O.!$A:$J,7,),"")</f>
        <v>15.81</v>
      </c>
      <c r="H675" s="140">
        <f>IFERROR(VLOOKUP($A675,[6]P.O.!$A:$J,8,),"")</f>
        <v>19.760000000000002</v>
      </c>
      <c r="I675" s="140">
        <f>IFERROR(VLOOKUP($A675,[6]P.O.!$A:$J,9,),"")</f>
        <v>414.96</v>
      </c>
      <c r="J675" s="159">
        <f t="shared" si="71"/>
        <v>1.9525999676034791E-4</v>
      </c>
      <c r="K675" s="145">
        <f>IFERROR(VLOOKUP($A675,[6]P.O.!$A:$J,10,),"")</f>
        <v>0.25</v>
      </c>
      <c r="L675" s="265"/>
    </row>
    <row r="676" spans="1:12" s="232" customFormat="1" ht="49.5">
      <c r="A676" s="76" t="s">
        <v>588</v>
      </c>
      <c r="B676" s="77" t="str">
        <f>IFERROR(VLOOKUP($A676,[6]P.O.!$A:$J,2,),"")</f>
        <v>COMPS27042</v>
      </c>
      <c r="C676" s="77" t="str">
        <f>IFERROR(VLOOKUP($A676,[6]P.O.!$A:$J,3,),"")</f>
        <v>COMPOSIÇÃO</v>
      </c>
      <c r="D676" s="78" t="str">
        <f>IFERROR(VLOOKUP($A676,[6]P.O.!$A:$J,4,),"")</f>
        <v>JUNÇÃO SIMPLES, PVC, SERIE NORMAL, ESGOTO PREDIAL, DN 100 X 50 MM, JUNTA ELÁSTICA, FORNECIDO E INSTALADO EM RAMAL DE DESCARGA OU RAMAL DE ESGOTO SANITÁRIO. AF_12/2014</v>
      </c>
      <c r="E676" s="91" t="str">
        <f>IFERROR(VLOOKUP($A676,[6]P.O.!$A:$J,5,),"")</f>
        <v>UN</v>
      </c>
      <c r="F676" s="139">
        <f>IFERROR(VLOOKUP($A676,[6]P.O.!$A:$J,6,),"")</f>
        <v>2</v>
      </c>
      <c r="G676" s="140">
        <f>IFERROR(VLOOKUP($A676,[6]P.O.!$A:$J,7,),"")</f>
        <v>16.669999999999998</v>
      </c>
      <c r="H676" s="140">
        <f>IFERROR(VLOOKUP($A676,[6]P.O.!$A:$J,8,),"")</f>
        <v>20.84</v>
      </c>
      <c r="I676" s="140">
        <f>IFERROR(VLOOKUP($A676,[6]P.O.!$A:$J,9,),"")</f>
        <v>41.68</v>
      </c>
      <c r="J676" s="159">
        <f t="shared" si="71"/>
        <v>1.9612581128232363E-5</v>
      </c>
      <c r="K676" s="145">
        <f>IFERROR(VLOOKUP($A676,[6]P.O.!$A:$J,10,),"")</f>
        <v>0.25</v>
      </c>
      <c r="L676" s="265"/>
    </row>
    <row r="677" spans="1:12" s="232" customFormat="1" ht="49.5">
      <c r="A677" s="76" t="s">
        <v>589</v>
      </c>
      <c r="B677" s="77">
        <f>IFERROR(VLOOKUP($A677,[6]P.O.!$A:$J,2,),"")</f>
        <v>89785</v>
      </c>
      <c r="C677" s="77" t="str">
        <f>IFERROR(VLOOKUP($A677,[6]P.O.!$A:$J,3,),"")</f>
        <v>SINAPI SERVIÇO</v>
      </c>
      <c r="D677" s="78" t="str">
        <f>IFERROR(VLOOKUP($A677,[6]P.O.!$A:$J,4,),"")</f>
        <v>JUNÇÃO SIMPLES, PVC, SERIE NORMAL, ESGOTO PREDIAL, DN 50 X 50 MM, JUNTA ELÁSTICA, FORNECIDO E INSTALADO EM RAMAL DE DESCARGA OU RAMAL DE ESGOTO SANITÁRIO. AF_12/2014</v>
      </c>
      <c r="E677" s="91" t="str">
        <f>IFERROR(VLOOKUP($A677,[6]P.O.!$A:$J,5,),"")</f>
        <v>UN</v>
      </c>
      <c r="F677" s="139">
        <f>IFERROR(VLOOKUP($A677,[6]P.O.!$A:$J,6,),"")</f>
        <v>23</v>
      </c>
      <c r="G677" s="140">
        <f>IFERROR(VLOOKUP($A677,[6]P.O.!$A:$J,7,),"")</f>
        <v>13.32</v>
      </c>
      <c r="H677" s="140">
        <f>IFERROR(VLOOKUP($A677,[6]P.O.!$A:$J,8,),"")</f>
        <v>16.649999999999999</v>
      </c>
      <c r="I677" s="140">
        <f>IFERROR(VLOOKUP($A677,[6]P.O.!$A:$J,9,),"")</f>
        <v>382.95</v>
      </c>
      <c r="J677" s="159">
        <f t="shared" si="71"/>
        <v>1.8019764738619443E-4</v>
      </c>
      <c r="K677" s="145">
        <f>IFERROR(VLOOKUP($A677,[6]P.O.!$A:$J,10,),"")</f>
        <v>0.25</v>
      </c>
      <c r="L677" s="265"/>
    </row>
    <row r="678" spans="1:12" s="232" customFormat="1" ht="33">
      <c r="A678" s="76" t="s">
        <v>590</v>
      </c>
      <c r="B678" s="77">
        <f>IFERROR(VLOOKUP($A678,[6]P.O.!$A:$J,2,),"")</f>
        <v>89856</v>
      </c>
      <c r="C678" s="77" t="str">
        <f>IFERROR(VLOOKUP($A678,[6]P.O.!$A:$J,3,),"")</f>
        <v>SINAPI SERVIÇO</v>
      </c>
      <c r="D678" s="78" t="str">
        <f>IFERROR(VLOOKUP($A678,[6]P.O.!$A:$J,4,),"")</f>
        <v>LUVA SIMPLES, PVC, SERIE NORMAL, ESGOTO PREDIAL, DN 100 MM, JUNTA ELÁSTICA, FORNECIDO E INSTALADO EM SUBCOLETOR AÉREO DE ESGOTO SANITÁRIO. AF_12/2014</v>
      </c>
      <c r="E678" s="91" t="str">
        <f>IFERROR(VLOOKUP($A678,[6]P.O.!$A:$J,5,),"")</f>
        <v>UN</v>
      </c>
      <c r="F678" s="139">
        <f>IFERROR(VLOOKUP($A678,[6]P.O.!$A:$J,6,),"")</f>
        <v>36</v>
      </c>
      <c r="G678" s="140">
        <f>IFERROR(VLOOKUP($A678,[6]P.O.!$A:$J,7,),"")</f>
        <v>10.49</v>
      </c>
      <c r="H678" s="140">
        <f>IFERROR(VLOOKUP($A678,[6]P.O.!$A:$J,8,),"")</f>
        <v>13.11</v>
      </c>
      <c r="I678" s="140">
        <f>IFERROR(VLOOKUP($A678,[6]P.O.!$A:$J,9,),"")</f>
        <v>471.96</v>
      </c>
      <c r="J678" s="159">
        <f t="shared" si="71"/>
        <v>2.2208142488676933E-4</v>
      </c>
      <c r="K678" s="145">
        <f>IFERROR(VLOOKUP($A678,[6]P.O.!$A:$J,10,),"")</f>
        <v>0.25</v>
      </c>
      <c r="L678" s="265"/>
    </row>
    <row r="679" spans="1:12" s="232" customFormat="1" ht="33">
      <c r="A679" s="76" t="s">
        <v>591</v>
      </c>
      <c r="B679" s="77" t="str">
        <f>IFERROR(VLOOKUP($A679,[6]P.O.!$A:$J,2,),"")</f>
        <v>COMPS27021</v>
      </c>
      <c r="C679" s="77" t="str">
        <f>IFERROR(VLOOKUP($A679,[6]P.O.!$A:$J,3,),"")</f>
        <v>COMPOSIÇÃO</v>
      </c>
      <c r="D679" s="78" t="str">
        <f>IFERROR(VLOOKUP($A679,[6]P.O.!$A:$J,4,),"")</f>
        <v>FORNECIMENTO E INSTALAÇÃO DE GRELHA HEMISFÉRICO FLEXIVEL /FAB.: TIGRE OU EQUIVANTE TÉCNICO</v>
      </c>
      <c r="E679" s="91" t="str">
        <f>IFERROR(VLOOKUP($A679,[6]P.O.!$A:$J,5,),"")</f>
        <v>PÇ</v>
      </c>
      <c r="F679" s="139">
        <f>IFERROR(VLOOKUP($A679,[6]P.O.!$A:$J,6,),"")</f>
        <v>5</v>
      </c>
      <c r="G679" s="140">
        <f>IFERROR(VLOOKUP($A679,[6]P.O.!$A:$J,7,),"")</f>
        <v>21.82</v>
      </c>
      <c r="H679" s="140">
        <f>IFERROR(VLOOKUP($A679,[6]P.O.!$A:$J,8,),"")</f>
        <v>27.28</v>
      </c>
      <c r="I679" s="140">
        <f>IFERROR(VLOOKUP($A679,[6]P.O.!$A:$J,9,),"")</f>
        <v>136.4</v>
      </c>
      <c r="J679" s="159">
        <f t="shared" si="71"/>
        <v>6.4183206955155817E-5</v>
      </c>
      <c r="K679" s="145">
        <f>IFERROR(VLOOKUP($A679,[6]P.O.!$A:$J,10,),"")</f>
        <v>0.25</v>
      </c>
      <c r="L679" s="265"/>
    </row>
    <row r="680" spans="1:12" s="232" customFormat="1">
      <c r="A680" s="76"/>
      <c r="B680" s="77"/>
      <c r="C680" s="77"/>
      <c r="D680" s="78"/>
      <c r="E680" s="91"/>
      <c r="F680" s="139"/>
      <c r="G680" s="140"/>
      <c r="H680" s="140"/>
      <c r="I680" s="140"/>
      <c r="J680" s="159"/>
      <c r="K680" s="141"/>
    </row>
    <row r="681" spans="1:12" s="231" customFormat="1">
      <c r="A681" s="6" t="s">
        <v>154</v>
      </c>
      <c r="B681" s="25"/>
      <c r="C681" s="25"/>
      <c r="D681" s="32" t="s">
        <v>592</v>
      </c>
      <c r="E681" s="135"/>
      <c r="F681" s="136"/>
      <c r="G681" s="137"/>
      <c r="H681" s="137"/>
      <c r="I681" s="137">
        <f>SUM(I682:I711)</f>
        <v>6278.01</v>
      </c>
      <c r="J681" s="230">
        <f>IF(I681="","",I681/$E$777)</f>
        <v>2.9541262103851742E-3</v>
      </c>
      <c r="K681" s="138"/>
    </row>
    <row r="682" spans="1:12" s="232" customFormat="1">
      <c r="A682" s="76"/>
      <c r="B682" s="77"/>
      <c r="C682" s="77"/>
      <c r="D682" s="78"/>
      <c r="E682" s="91"/>
      <c r="F682" s="139"/>
      <c r="G682" s="140"/>
      <c r="H682" s="140"/>
      <c r="I682" s="140"/>
      <c r="J682" s="159"/>
      <c r="K682" s="141"/>
    </row>
    <row r="683" spans="1:12" s="235" customFormat="1">
      <c r="A683" s="95" t="s">
        <v>155</v>
      </c>
      <c r="B683" s="110"/>
      <c r="C683" s="110"/>
      <c r="D683" s="97" t="str">
        <f>IFERROR(VLOOKUP($A683,[6]P.O.!$A:$J,4,),"")</f>
        <v>TUBULAÇÃO</v>
      </c>
      <c r="E683" s="96"/>
      <c r="F683" s="163"/>
      <c r="G683" s="180"/>
      <c r="H683" s="180"/>
      <c r="I683" s="180"/>
      <c r="J683" s="165"/>
      <c r="K683" s="181"/>
    </row>
    <row r="684" spans="1:12" s="232" customFormat="1" ht="33">
      <c r="A684" s="76" t="s">
        <v>156</v>
      </c>
      <c r="B684" s="77">
        <f>IFERROR(VLOOKUP($A684,[6]P.O.!$A:$J,2,),"")</f>
        <v>89449</v>
      </c>
      <c r="C684" s="77" t="str">
        <f>IFERROR(VLOOKUP($A684,[6]P.O.!$A:$J,3,),"")</f>
        <v>SINAPI SERVIÇO</v>
      </c>
      <c r="D684" s="78" t="str">
        <f>IFERROR(VLOOKUP($A684,[6]P.O.!$A:$J,4,),"")</f>
        <v>TUBO, PVC, SOLDÁVEL, DN 50MM, INSTALADO EM PRUMADA DE ÁGUA   FORNECIMENTO E INSTALAÇÃO. AF_12/2014_P</v>
      </c>
      <c r="E684" s="91" t="str">
        <f>IFERROR(VLOOKUP($A684,[6]P.O.!$A:$J,5,),"")</f>
        <v>M</v>
      </c>
      <c r="F684" s="139">
        <f>IFERROR(VLOOKUP($A684,[6]P.O.!$A:$J,6,),"")</f>
        <v>3.6</v>
      </c>
      <c r="G684" s="140">
        <f>IFERROR(VLOOKUP($A684,[6]P.O.!$A:$J,7,),"")</f>
        <v>10.73</v>
      </c>
      <c r="H684" s="140">
        <f>IFERROR(VLOOKUP($A684,[6]P.O.!$A:$J,8,),"")</f>
        <v>13.41</v>
      </c>
      <c r="I684" s="140">
        <f>IFERROR(VLOOKUP($A684,[6]P.O.!$A:$J,9,),"")</f>
        <v>48.28</v>
      </c>
      <c r="J684" s="159">
        <f t="shared" ref="J684:J703" si="72">IF(I684="","",I684/$E$777)</f>
        <v>2.271822017444958E-5</v>
      </c>
      <c r="K684" s="145">
        <f>IFERROR(VLOOKUP($A684,[6]P.O.!$A:$J,10,),"")</f>
        <v>0.25</v>
      </c>
      <c r="L684" s="265"/>
    </row>
    <row r="685" spans="1:12" s="232" customFormat="1" ht="33">
      <c r="A685" s="76" t="s">
        <v>157</v>
      </c>
      <c r="B685" s="77">
        <f>IFERROR(VLOOKUP($A685,[6]P.O.!$A:$J,2,),"")</f>
        <v>89448</v>
      </c>
      <c r="C685" s="77" t="str">
        <f>IFERROR(VLOOKUP($A685,[6]P.O.!$A:$J,3,),"")</f>
        <v>SINAPI SERVIÇO</v>
      </c>
      <c r="D685" s="78" t="str">
        <f>IFERROR(VLOOKUP($A685,[6]P.O.!$A:$J,4,),"")</f>
        <v>TUBO, PVC, SOLDÁVEL, DN 40MM, INSTALADO EM PRUMADA DE ÁGUA   FORNECIMENTO E INSTALAÇÃO. AF_12/2014_P</v>
      </c>
      <c r="E685" s="91" t="str">
        <f>IFERROR(VLOOKUP($A685,[6]P.O.!$A:$J,5,),"")</f>
        <v>M</v>
      </c>
      <c r="F685" s="139">
        <f>IFERROR(VLOOKUP($A685,[6]P.O.!$A:$J,6,),"")</f>
        <v>23.4</v>
      </c>
      <c r="G685" s="140">
        <f>IFERROR(VLOOKUP($A685,[6]P.O.!$A:$J,7,),"")</f>
        <v>8.67</v>
      </c>
      <c r="H685" s="140">
        <f>IFERROR(VLOOKUP($A685,[6]P.O.!$A:$J,8,),"")</f>
        <v>10.84</v>
      </c>
      <c r="I685" s="140">
        <f>IFERROR(VLOOKUP($A685,[6]P.O.!$A:$J,9,),"")</f>
        <v>253.66</v>
      </c>
      <c r="J685" s="159">
        <f t="shared" si="72"/>
        <v>1.193600606762817E-4</v>
      </c>
      <c r="K685" s="145">
        <f>IFERROR(VLOOKUP($A685,[6]P.O.!$A:$J,10,),"")</f>
        <v>0.25</v>
      </c>
      <c r="L685" s="265"/>
    </row>
    <row r="686" spans="1:12" s="232" customFormat="1" ht="33">
      <c r="A686" s="76" t="s">
        <v>158</v>
      </c>
      <c r="B686" s="77">
        <f>IFERROR(VLOOKUP($A686,[6]P.O.!$A:$J,2,),"")</f>
        <v>89402</v>
      </c>
      <c r="C686" s="77" t="str">
        <f>IFERROR(VLOOKUP($A686,[6]P.O.!$A:$J,3,),"")</f>
        <v>SINAPI SERVIÇO</v>
      </c>
      <c r="D686" s="78" t="str">
        <f>IFERROR(VLOOKUP($A686,[6]P.O.!$A:$J,4,),"")</f>
        <v>TUBO, PVC, SOLDÁVEL, DN 25MM, INSTALADO EM RAMAL DE DISTRIBUIÇÃO DE ÁGUA  FORNECIMENTO E INSTALAÇÃO. AF_12/2014_P</v>
      </c>
      <c r="E686" s="91" t="str">
        <f>IFERROR(VLOOKUP($A686,[6]P.O.!$A:$J,5,),"")</f>
        <v>M</v>
      </c>
      <c r="F686" s="139">
        <f>IFERROR(VLOOKUP($A686,[6]P.O.!$A:$J,6,),"")</f>
        <v>157.19999999999999</v>
      </c>
      <c r="G686" s="140">
        <f>IFERROR(VLOOKUP($A686,[6]P.O.!$A:$J,7,),"")</f>
        <v>5.64</v>
      </c>
      <c r="H686" s="140">
        <f>IFERROR(VLOOKUP($A686,[6]P.O.!$A:$J,8,),"")</f>
        <v>7.05</v>
      </c>
      <c r="I686" s="140">
        <f>IFERROR(VLOOKUP($A686,[6]P.O.!$A:$J,9,),"")</f>
        <v>1108.26</v>
      </c>
      <c r="J686" s="159">
        <f t="shared" si="72"/>
        <v>5.2149326202434736E-4</v>
      </c>
      <c r="K686" s="145">
        <f>IFERROR(VLOOKUP($A686,[6]P.O.!$A:$J,10,),"")</f>
        <v>0.25</v>
      </c>
      <c r="L686" s="265"/>
    </row>
    <row r="687" spans="1:12" s="232" customFormat="1" ht="33">
      <c r="A687" s="76" t="s">
        <v>159</v>
      </c>
      <c r="B687" s="77">
        <f>IFERROR(VLOOKUP($A687,[6]P.O.!$A:$J,2,),"")</f>
        <v>89401</v>
      </c>
      <c r="C687" s="77" t="str">
        <f>IFERROR(VLOOKUP($A687,[6]P.O.!$A:$J,3,),"")</f>
        <v>SINAPI SERVIÇO</v>
      </c>
      <c r="D687" s="78" t="str">
        <f>IFERROR(VLOOKUP($A687,[6]P.O.!$A:$J,4,),"")</f>
        <v>TUBO, PVC, SOLDÁVEL, DN 20MM, INSTALADO EM RAMAL DE DISTRIBUIÇÃO DE ÁG   UA     FORNECIMENTO E INSTALAÇÃO. AF_12/2014_P</v>
      </c>
      <c r="E687" s="91" t="str">
        <f>IFERROR(VLOOKUP($A687,[6]P.O.!$A:$J,5,),"")</f>
        <v>M</v>
      </c>
      <c r="F687" s="139">
        <f>IFERROR(VLOOKUP($A687,[6]P.O.!$A:$J,6,),"")</f>
        <v>18.600000000000001</v>
      </c>
      <c r="G687" s="140">
        <f>IFERROR(VLOOKUP($A687,[6]P.O.!$A:$J,7,),"")</f>
        <v>4.57</v>
      </c>
      <c r="H687" s="140">
        <f>IFERROR(VLOOKUP($A687,[6]P.O.!$A:$J,8,),"")</f>
        <v>5.71</v>
      </c>
      <c r="I687" s="140">
        <f>IFERROR(VLOOKUP($A687,[6]P.O.!$A:$J,9,),"")</f>
        <v>106.21</v>
      </c>
      <c r="J687" s="159">
        <f t="shared" si="72"/>
        <v>4.9977261075565239E-5</v>
      </c>
      <c r="K687" s="145">
        <f>IFERROR(VLOOKUP($A687,[6]P.O.!$A:$J,10,),"")</f>
        <v>0.25</v>
      </c>
      <c r="L687" s="265"/>
    </row>
    <row r="688" spans="1:12" s="232" customFormat="1" ht="33">
      <c r="A688" s="76" t="s">
        <v>160</v>
      </c>
      <c r="B688" s="77" t="str">
        <f>IFERROR(VLOOKUP($A688,[6]P.O.!$A:$J,2,),"")</f>
        <v>COMPS27030</v>
      </c>
      <c r="C688" s="77" t="str">
        <f>IFERROR(VLOOKUP($A688,[6]P.O.!$A:$J,3,),"")</f>
        <v>COMPOSIÇÃO</v>
      </c>
      <c r="D688" s="78" t="str">
        <f>IFERROR(VLOOKUP($A688,[6]P.O.!$A:$J,4,),"")</f>
        <v>ADAPTADOR DE PVC RÍGIDO SOLDÁVEL CURTO C/ BOLSA E ROSCA P/ REGISTRO DIÂM =  40MMX1.1/4" - FORNECIMENTO E INSTALAÇÃO</v>
      </c>
      <c r="E688" s="91" t="str">
        <f>IFERROR(VLOOKUP($A688,[6]P.O.!$A:$J,5,),"")</f>
        <v>PÇ</v>
      </c>
      <c r="F688" s="139">
        <f>IFERROR(VLOOKUP($A688,[6]P.O.!$A:$J,6,),"")</f>
        <v>3</v>
      </c>
      <c r="G688" s="140">
        <f>IFERROR(VLOOKUP($A688,[6]P.O.!$A:$J,7,),"")</f>
        <v>11.06</v>
      </c>
      <c r="H688" s="140">
        <f>IFERROR(VLOOKUP($A688,[6]P.O.!$A:$J,8,),"")</f>
        <v>13.83</v>
      </c>
      <c r="I688" s="140">
        <f>IFERROR(VLOOKUP($A688,[6]P.O.!$A:$J,9,),"")</f>
        <v>41.49</v>
      </c>
      <c r="J688" s="159">
        <f t="shared" si="72"/>
        <v>1.952317636781096E-5</v>
      </c>
      <c r="K688" s="145">
        <f>IFERROR(VLOOKUP($A688,[6]P.O.!$A:$J,10,),"")</f>
        <v>0.25</v>
      </c>
      <c r="L688" s="265"/>
    </row>
    <row r="689" spans="1:12" s="232" customFormat="1" ht="33">
      <c r="A689" s="76" t="s">
        <v>161</v>
      </c>
      <c r="B689" s="77" t="str">
        <f>IFERROR(VLOOKUP($A689,[6]P.O.!$A:$J,2,),"")</f>
        <v>COMPS27031</v>
      </c>
      <c r="C689" s="77" t="str">
        <f>IFERROR(VLOOKUP($A689,[6]P.O.!$A:$J,3,),"")</f>
        <v>COMPOSIÇÃO</v>
      </c>
      <c r="D689" s="78" t="str">
        <f>IFERROR(VLOOKUP($A689,[6]P.O.!$A:$J,4,),"")</f>
        <v>ADAPTADOR DE PVC RÍGIDO SOLDÁVEL CURTO C/ BOLSA E ROSCA P/ REGISTRO DIÂM =  25MMX3/4"  - FORNECIMENTO E INSTALAÇÃO</v>
      </c>
      <c r="E689" s="91" t="str">
        <f>IFERROR(VLOOKUP($A689,[6]P.O.!$A:$J,5,),"")</f>
        <v>PÇ</v>
      </c>
      <c r="F689" s="139">
        <f>IFERROR(VLOOKUP($A689,[6]P.O.!$A:$J,6,),"")</f>
        <v>22</v>
      </c>
      <c r="G689" s="140">
        <f>IFERROR(VLOOKUP($A689,[6]P.O.!$A:$J,7,),"")</f>
        <v>6.07</v>
      </c>
      <c r="H689" s="140">
        <f>IFERROR(VLOOKUP($A689,[6]P.O.!$A:$J,8,),"")</f>
        <v>7.59</v>
      </c>
      <c r="I689" s="140">
        <f>IFERROR(VLOOKUP($A689,[6]P.O.!$A:$J,9,),"")</f>
        <v>166.98</v>
      </c>
      <c r="J689" s="159">
        <f t="shared" si="72"/>
        <v>7.8572667869295586E-5</v>
      </c>
      <c r="K689" s="145">
        <f>IFERROR(VLOOKUP($A689,[6]P.O.!$A:$J,10,),"")</f>
        <v>0.25</v>
      </c>
      <c r="L689" s="265"/>
    </row>
    <row r="690" spans="1:12" s="232" customFormat="1" ht="33">
      <c r="A690" s="76" t="s">
        <v>162</v>
      </c>
      <c r="B690" s="77" t="str">
        <f>IFERROR(VLOOKUP($A690,[6]P.O.!$A:$J,2,),"")</f>
        <v>COMPS27043</v>
      </c>
      <c r="C690" s="77" t="str">
        <f>IFERROR(VLOOKUP($A690,[6]P.O.!$A:$J,3,),"")</f>
        <v>COMPOSIÇÃO</v>
      </c>
      <c r="D690" s="78" t="str">
        <f>IFERROR(VLOOKUP($A690,[6]P.O.!$A:$J,4,),"")</f>
        <v>BUCHA DE REDUÇÃO CURTA DE PVC RÍGIDO SOLDÁVEL, MARROM, DIÂM = 40 X 25MM  - FORNECIMENTO E INSTALAÇÃO</v>
      </c>
      <c r="E690" s="91" t="str">
        <f>IFERROR(VLOOKUP($A690,[6]P.O.!$A:$J,5,),"")</f>
        <v>PÇ</v>
      </c>
      <c r="F690" s="139">
        <f>IFERROR(VLOOKUP($A690,[6]P.O.!$A:$J,6,),"")</f>
        <v>1</v>
      </c>
      <c r="G690" s="140">
        <f>IFERROR(VLOOKUP($A690,[6]P.O.!$A:$J,7,),"")</f>
        <v>6.0399999999999991</v>
      </c>
      <c r="H690" s="140">
        <f>IFERROR(VLOOKUP($A690,[6]P.O.!$A:$J,8,),"")</f>
        <v>7.55</v>
      </c>
      <c r="I690" s="140">
        <f>IFERROR(VLOOKUP($A690,[6]P.O.!$A:$J,9,),"")</f>
        <v>7.55</v>
      </c>
      <c r="J690" s="159">
        <f t="shared" si="72"/>
        <v>3.5526628483242406E-6</v>
      </c>
      <c r="K690" s="145">
        <f>IFERROR(VLOOKUP($A690,[6]P.O.!$A:$J,10,),"")</f>
        <v>0.25</v>
      </c>
      <c r="L690" s="265"/>
    </row>
    <row r="691" spans="1:12" s="232" customFormat="1" ht="33">
      <c r="A691" s="76" t="s">
        <v>163</v>
      </c>
      <c r="B691" s="77" t="str">
        <f>IFERROR(VLOOKUP($A691,[6]P.O.!$A:$J,2,),"")</f>
        <v>COMPS27032</v>
      </c>
      <c r="C691" s="77" t="str">
        <f>IFERROR(VLOOKUP($A691,[6]P.O.!$A:$J,3,),"")</f>
        <v>COMPOSIÇÃO</v>
      </c>
      <c r="D691" s="78" t="str">
        <f>IFERROR(VLOOKUP($A691,[6]P.O.!$A:$J,4,),"")</f>
        <v>BUCHA DE REDUÇÃO CURTA DE PVC RÍGIDO SOLDÁVEL, MARROM, DIÂM = 25 X 20MM  - FORNECIMENTO E INSTALAÇÃO</v>
      </c>
      <c r="E691" s="91" t="str">
        <f>IFERROR(VLOOKUP($A691,[6]P.O.!$A:$J,5,),"")</f>
        <v>PÇ</v>
      </c>
      <c r="F691" s="139">
        <f>IFERROR(VLOOKUP($A691,[6]P.O.!$A:$J,6,),"")</f>
        <v>5</v>
      </c>
      <c r="G691" s="140">
        <f>IFERROR(VLOOKUP($A691,[6]P.O.!$A:$J,7,),"")</f>
        <v>3.4700000000000006</v>
      </c>
      <c r="H691" s="140">
        <f>IFERROR(VLOOKUP($A691,[6]P.O.!$A:$J,8,),"")</f>
        <v>4.34</v>
      </c>
      <c r="I691" s="140">
        <f>IFERROR(VLOOKUP($A691,[6]P.O.!$A:$J,9,),"")</f>
        <v>21.7</v>
      </c>
      <c r="J691" s="159">
        <f t="shared" si="72"/>
        <v>1.0210964742865697E-5</v>
      </c>
      <c r="K691" s="145">
        <f>IFERROR(VLOOKUP($A691,[6]P.O.!$A:$J,10,),"")</f>
        <v>0.25</v>
      </c>
      <c r="L691" s="265"/>
    </row>
    <row r="692" spans="1:12" s="232" customFormat="1" ht="33">
      <c r="A692" s="76" t="s">
        <v>164</v>
      </c>
      <c r="B692" s="77">
        <f>IFERROR(VLOOKUP($A692,[6]P.O.!$A:$J,2,),"")</f>
        <v>89501</v>
      </c>
      <c r="C692" s="77" t="str">
        <f>IFERROR(VLOOKUP($A692,[6]P.O.!$A:$J,3,),"")</f>
        <v>SINAPI SERVIÇO</v>
      </c>
      <c r="D692" s="78" t="str">
        <f>IFERROR(VLOOKUP($A692,[6]P.O.!$A:$J,4,),"")</f>
        <v>JOELHO 90 GRAUS, PVC, SOLDÁVEL, DN 50MM, INSTALADO EM PRUMADA DE ÁGUA    FORNECIMENTO E INSTALAÇÃO. AF_12/2014_P</v>
      </c>
      <c r="E692" s="91" t="str">
        <f>IFERROR(VLOOKUP($A692,[6]P.O.!$A:$J,5,),"")</f>
        <v>UN</v>
      </c>
      <c r="F692" s="139">
        <f>IFERROR(VLOOKUP($A692,[6]P.O.!$A:$J,6,),"")</f>
        <v>2</v>
      </c>
      <c r="G692" s="140">
        <f>IFERROR(VLOOKUP($A692,[6]P.O.!$A:$J,7,),"")</f>
        <v>8.4700000000000006</v>
      </c>
      <c r="H692" s="140">
        <f>IFERROR(VLOOKUP($A692,[6]P.O.!$A:$J,8,),"")</f>
        <v>10.59</v>
      </c>
      <c r="I692" s="140">
        <f>IFERROR(VLOOKUP($A692,[6]P.O.!$A:$J,9,),"")</f>
        <v>21.18</v>
      </c>
      <c r="J692" s="159">
        <f t="shared" si="72"/>
        <v>9.9662780301334322E-6</v>
      </c>
      <c r="K692" s="145">
        <f>IFERROR(VLOOKUP($A692,[6]P.O.!$A:$J,10,),"")</f>
        <v>0.25</v>
      </c>
      <c r="L692" s="265"/>
    </row>
    <row r="693" spans="1:12" s="232" customFormat="1" ht="33">
      <c r="A693" s="76" t="s">
        <v>165</v>
      </c>
      <c r="B693" s="77">
        <f>IFERROR(VLOOKUP($A693,[6]P.O.!$A:$J,2,),"")</f>
        <v>89497</v>
      </c>
      <c r="C693" s="77" t="str">
        <f>IFERROR(VLOOKUP($A693,[6]P.O.!$A:$J,3,),"")</f>
        <v>SINAPI SERVIÇO</v>
      </c>
      <c r="D693" s="78" t="str">
        <f>IFERROR(VLOOKUP($A693,[6]P.O.!$A:$J,4,),"")</f>
        <v>JOELHO 90 GRAUS, PVC, SOLDÁVEL, DN 40MM, INSTALADO EM PRUMADA DE ÁGUA   FORNECIMENTO E INSTALAÇÃO. AF_12/2014_P</v>
      </c>
      <c r="E693" s="91" t="str">
        <f>IFERROR(VLOOKUP($A693,[6]P.O.!$A:$J,5,),"")</f>
        <v>UN</v>
      </c>
      <c r="F693" s="139">
        <f>IFERROR(VLOOKUP($A693,[6]P.O.!$A:$J,6,),"")</f>
        <v>5</v>
      </c>
      <c r="G693" s="140">
        <f>IFERROR(VLOOKUP($A693,[6]P.O.!$A:$J,7,),"")</f>
        <v>6.83</v>
      </c>
      <c r="H693" s="140">
        <f>IFERROR(VLOOKUP($A693,[6]P.O.!$A:$J,8,),"")</f>
        <v>8.5399999999999991</v>
      </c>
      <c r="I693" s="140">
        <f>IFERROR(VLOOKUP($A693,[6]P.O.!$A:$J,9,),"")</f>
        <v>42.7</v>
      </c>
      <c r="J693" s="159">
        <f t="shared" si="72"/>
        <v>2.0092543526284117E-5</v>
      </c>
      <c r="K693" s="145">
        <f>IFERROR(VLOOKUP($A693,[6]P.O.!$A:$J,10,),"")</f>
        <v>0.25</v>
      </c>
      <c r="L693" s="265"/>
    </row>
    <row r="694" spans="1:12" s="232" customFormat="1" ht="33">
      <c r="A694" s="76" t="s">
        <v>166</v>
      </c>
      <c r="B694" s="77">
        <f>IFERROR(VLOOKUP($A694,[6]P.O.!$A:$J,2,),"")</f>
        <v>89408</v>
      </c>
      <c r="C694" s="77" t="str">
        <f>IFERROR(VLOOKUP($A694,[6]P.O.!$A:$J,3,),"")</f>
        <v>SINAPI SERVIÇO</v>
      </c>
      <c r="D694" s="78" t="str">
        <f>IFERROR(VLOOKUP($A694,[6]P.O.!$A:$J,4,),"")</f>
        <v>JOELHO 90 GRAUS, PVC, SOLDÁVEL, DN 25MM, INSTALADO EM RAMAL DE DISTRIBUIÇÃO DE ÁGUA FORNECIMENTO E INSTALAÇÃO. AF_12/2014_P</v>
      </c>
      <c r="E694" s="91" t="str">
        <f>IFERROR(VLOOKUP($A694,[6]P.O.!$A:$J,5,),"")</f>
        <v>UN</v>
      </c>
      <c r="F694" s="139">
        <f>IFERROR(VLOOKUP($A694,[6]P.O.!$A:$J,6,),"")</f>
        <v>38</v>
      </c>
      <c r="G694" s="140">
        <f>IFERROR(VLOOKUP($A694,[6]P.O.!$A:$J,7,),"")</f>
        <v>3.6</v>
      </c>
      <c r="H694" s="140">
        <f>IFERROR(VLOOKUP($A694,[6]P.O.!$A:$J,8,),"")</f>
        <v>4.5</v>
      </c>
      <c r="I694" s="140">
        <f>IFERROR(VLOOKUP($A694,[6]P.O.!$A:$J,9,),"")</f>
        <v>171</v>
      </c>
      <c r="J694" s="159">
        <f t="shared" si="72"/>
        <v>8.0464284379264258E-5</v>
      </c>
      <c r="K694" s="145">
        <f>IFERROR(VLOOKUP($A694,[6]P.O.!$A:$J,10,),"")</f>
        <v>0.25</v>
      </c>
      <c r="L694" s="265"/>
    </row>
    <row r="695" spans="1:12" s="232" customFormat="1" ht="33">
      <c r="A695" s="76" t="s">
        <v>167</v>
      </c>
      <c r="B695" s="77">
        <f>IFERROR(VLOOKUP($A695,[6]P.O.!$A:$J,2,),"")</f>
        <v>89358</v>
      </c>
      <c r="C695" s="77" t="str">
        <f>IFERROR(VLOOKUP($A695,[6]P.O.!$A:$J,3,),"")</f>
        <v>SINAPI SERVIÇO</v>
      </c>
      <c r="D695" s="78" t="str">
        <f>IFERROR(VLOOKUP($A695,[6]P.O.!$A:$J,4,),"")</f>
        <v>JOELHO 90 GRAUS, PVC, SOLDÁVEL, DN 20MM, INSTALADO EM RAMAL OU SUB-RAMAL DE ÁGUA   FORNECIMENTO E INSTALAÇÃO . AF_12/2014_P</v>
      </c>
      <c r="E695" s="91" t="str">
        <f>IFERROR(VLOOKUP($A695,[6]P.O.!$A:$J,5,),"")</f>
        <v>UN</v>
      </c>
      <c r="F695" s="139">
        <f>IFERROR(VLOOKUP($A695,[6]P.O.!$A:$J,6,),"")</f>
        <v>2</v>
      </c>
      <c r="G695" s="140">
        <f>IFERROR(VLOOKUP($A695,[6]P.O.!$A:$J,7,),"")</f>
        <v>4.4400000000000004</v>
      </c>
      <c r="H695" s="140">
        <f>IFERROR(VLOOKUP($A695,[6]P.O.!$A:$J,8,),"")</f>
        <v>5.55</v>
      </c>
      <c r="I695" s="140">
        <f>IFERROR(VLOOKUP($A695,[6]P.O.!$A:$J,9,),"")</f>
        <v>11.1</v>
      </c>
      <c r="J695" s="159">
        <f t="shared" si="72"/>
        <v>5.2231202140925916E-6</v>
      </c>
      <c r="K695" s="145">
        <f>IFERROR(VLOOKUP($A695,[6]P.O.!$A:$J,10,),"")</f>
        <v>0.25</v>
      </c>
      <c r="L695" s="265"/>
    </row>
    <row r="696" spans="1:12" s="232" customFormat="1" ht="33">
      <c r="A696" s="76" t="s">
        <v>168</v>
      </c>
      <c r="B696" s="77">
        <f>IFERROR(VLOOKUP($A696,[6]P.O.!$A:$J,2,),"")</f>
        <v>90373</v>
      </c>
      <c r="C696" s="77" t="str">
        <f>IFERROR(VLOOKUP($A696,[6]P.O.!$A:$J,3,),"")</f>
        <v>SINAPI SERVIÇO</v>
      </c>
      <c r="D696" s="78" t="str">
        <f>IFERROR(VLOOKUP($A696,[6]P.O.!$A:$J,4,),"")</f>
        <v>JOELHO 90 GRAUS COM BUCHA DE LATÃO, PVC, SOLDÁVEL, DN 25MM, X 1/2" INSTALADO EM RAMAL OU SUB-RAMAL DE ÁGUA   FORNECIMENTO E INSTALAÇÃO . AF_03/2015_P</v>
      </c>
      <c r="E696" s="91" t="str">
        <f>IFERROR(VLOOKUP($A696,[6]P.O.!$A:$J,5,),"")</f>
        <v>UN</v>
      </c>
      <c r="F696" s="139">
        <f>IFERROR(VLOOKUP($A696,[6]P.O.!$A:$J,6,),"")</f>
        <v>1</v>
      </c>
      <c r="G696" s="140">
        <f>IFERROR(VLOOKUP($A696,[6]P.O.!$A:$J,7,),"")</f>
        <v>9.5399999999999991</v>
      </c>
      <c r="H696" s="140">
        <f>IFERROR(VLOOKUP($A696,[6]P.O.!$A:$J,8,),"")</f>
        <v>11.93</v>
      </c>
      <c r="I696" s="140">
        <f>IFERROR(VLOOKUP($A696,[6]P.O.!$A:$J,9,),"")</f>
        <v>11.93</v>
      </c>
      <c r="J696" s="159">
        <f t="shared" si="72"/>
        <v>5.6136778517229388E-6</v>
      </c>
      <c r="K696" s="145">
        <f>IFERROR(VLOOKUP($A696,[6]P.O.!$A:$J,10,),"")</f>
        <v>0.25</v>
      </c>
      <c r="L696" s="265"/>
    </row>
    <row r="697" spans="1:12" s="232" customFormat="1" ht="33">
      <c r="A697" s="76" t="s">
        <v>169</v>
      </c>
      <c r="B697" s="77">
        <f>IFERROR(VLOOKUP($A697,[6]P.O.!$A:$J,2,),"")</f>
        <v>89366</v>
      </c>
      <c r="C697" s="77" t="str">
        <f>IFERROR(VLOOKUP($A697,[6]P.O.!$A:$J,3,),"")</f>
        <v>SINAPI SERVIÇO</v>
      </c>
      <c r="D697" s="78" t="str">
        <f>IFERROR(VLOOKUP($A697,[6]P.O.!$A:$J,4,),"")</f>
        <v>JOELHO 90 GRAUS COM BUCHA DE LATÃO, PVC, SOLDÁVEL, DN 25MM, X 3/4 INSTALADO EM RAMAL OU SUB-RAMAL DE ÁGUA     FORNECIMENTO E INSTALAÇÃO . AF_12/2014_P</v>
      </c>
      <c r="E697" s="91" t="str">
        <f>IFERROR(VLOOKUP($A697,[6]P.O.!$A:$J,5,),"")</f>
        <v>UN</v>
      </c>
      <c r="F697" s="139">
        <f>IFERROR(VLOOKUP($A697,[6]P.O.!$A:$J,6,),"")</f>
        <v>4</v>
      </c>
      <c r="G697" s="140">
        <f>IFERROR(VLOOKUP($A697,[6]P.O.!$A:$J,7,),"")</f>
        <v>10.44</v>
      </c>
      <c r="H697" s="140">
        <f>IFERROR(VLOOKUP($A697,[6]P.O.!$A:$J,8,),"")</f>
        <v>13.05</v>
      </c>
      <c r="I697" s="140">
        <f>IFERROR(VLOOKUP($A697,[6]P.O.!$A:$J,9,),"")</f>
        <v>52.2</v>
      </c>
      <c r="J697" s="159">
        <f t="shared" si="72"/>
        <v>2.4562781547354353E-5</v>
      </c>
      <c r="K697" s="145">
        <f>IFERROR(VLOOKUP($A697,[6]P.O.!$A:$J,10,),"")</f>
        <v>0.25</v>
      </c>
      <c r="L697" s="265"/>
    </row>
    <row r="698" spans="1:12" s="232" customFormat="1" ht="33">
      <c r="A698" s="76" t="s">
        <v>170</v>
      </c>
      <c r="B698" s="77" t="str">
        <f>IFERROR(VLOOKUP($A698,[6]P.O.!$A:$J,2,),"")</f>
        <v>COMPS27044</v>
      </c>
      <c r="C698" s="77" t="str">
        <f>IFERROR(VLOOKUP($A698,[6]P.O.!$A:$J,3,),"")</f>
        <v>COMPOSIÇÃO</v>
      </c>
      <c r="D698" s="78" t="str">
        <f>IFERROR(VLOOKUP($A698,[6]P.O.!$A:$J,4,),"")</f>
        <v>JOELHO 90 GRAUS COM BUCHA DE LATÃO, PVC, SOLDÁVEL, DN 20MM, X 1/2 INSTALADO EM RAMAL OU SUB-RAMAL DE ÁGUA     FORNECIMENTO E INSTALAÇÃO . AF_12/2014_P</v>
      </c>
      <c r="E698" s="91" t="str">
        <f>IFERROR(VLOOKUP($A698,[6]P.O.!$A:$J,5,),"")</f>
        <v>PÇ</v>
      </c>
      <c r="F698" s="139">
        <f>IFERROR(VLOOKUP($A698,[6]P.O.!$A:$J,6,),"")</f>
        <v>18</v>
      </c>
      <c r="G698" s="140">
        <f>IFERROR(VLOOKUP($A698,[6]P.O.!$A:$J,7,),"")</f>
        <v>9.15</v>
      </c>
      <c r="H698" s="140">
        <f>IFERROR(VLOOKUP($A698,[6]P.O.!$A:$J,8,),"")</f>
        <v>11.44</v>
      </c>
      <c r="I698" s="140">
        <f>IFERROR(VLOOKUP($A698,[6]P.O.!$A:$J,9,),"")</f>
        <v>205.92</v>
      </c>
      <c r="J698" s="159">
        <f t="shared" si="72"/>
        <v>9.6895938241977166E-5</v>
      </c>
      <c r="K698" s="145">
        <f>IFERROR(VLOOKUP($A698,[6]P.O.!$A:$J,10,),"")</f>
        <v>0.25</v>
      </c>
      <c r="L698" s="265"/>
    </row>
    <row r="699" spans="1:12" s="232" customFormat="1" ht="33">
      <c r="A699" s="76" t="s">
        <v>593</v>
      </c>
      <c r="B699" s="77">
        <f>IFERROR(VLOOKUP($A699,[6]P.O.!$A:$J,2,),"")</f>
        <v>89381</v>
      </c>
      <c r="C699" s="77" t="str">
        <f>IFERROR(VLOOKUP($A699,[6]P.O.!$A:$J,3,),"")</f>
        <v>SINAPI SERVIÇO</v>
      </c>
      <c r="D699" s="78" t="str">
        <f>IFERROR(VLOOKUP($A699,[6]P.O.!$A:$J,4,),"")</f>
        <v>LUVA COM BUCHA DE LATÃO, PVC, SOLDÁVEL, DN 25MM X 3/4, INSTALADO EM RAMAL OU SUB-RAMAL DE ÁGUA   FORNECIMENTO E INSTALAÇÃO. AF_12/2014_P</v>
      </c>
      <c r="E699" s="91" t="str">
        <f>IFERROR(VLOOKUP($A699,[6]P.O.!$A:$J,5,),"")</f>
        <v>UN</v>
      </c>
      <c r="F699" s="139">
        <f>IFERROR(VLOOKUP($A699,[6]P.O.!$A:$J,6,),"")</f>
        <v>2</v>
      </c>
      <c r="G699" s="140">
        <f>IFERROR(VLOOKUP($A699,[6]P.O.!$A:$J,7,),"")</f>
        <v>7.69</v>
      </c>
      <c r="H699" s="140">
        <f>IFERROR(VLOOKUP($A699,[6]P.O.!$A:$J,8,),"")</f>
        <v>9.61</v>
      </c>
      <c r="I699" s="140">
        <f>IFERROR(VLOOKUP($A699,[6]P.O.!$A:$J,9,),"")</f>
        <v>19.22</v>
      </c>
      <c r="J699" s="159">
        <f t="shared" si="72"/>
        <v>9.0439973436810453E-6</v>
      </c>
      <c r="K699" s="145">
        <f>IFERROR(VLOOKUP($A699,[6]P.O.!$A:$J,10,),"")</f>
        <v>0.25</v>
      </c>
      <c r="L699" s="265"/>
    </row>
    <row r="700" spans="1:12" s="232" customFormat="1" ht="33">
      <c r="A700" s="76" t="s">
        <v>594</v>
      </c>
      <c r="B700" s="77">
        <f>IFERROR(VLOOKUP($A700,[6]P.O.!$A:$J,2,),"")</f>
        <v>89623</v>
      </c>
      <c r="C700" s="77" t="str">
        <f>IFERROR(VLOOKUP($A700,[6]P.O.!$A:$J,3,),"")</f>
        <v>SINAPI SERVIÇO</v>
      </c>
      <c r="D700" s="78" t="str">
        <f>IFERROR(VLOOKUP($A700,[6]P.O.!$A:$J,4,),"")</f>
        <v>TE, PVC, SOLDÁVEL, DN 40MM, INSTALADO EM PRUMADA DE ÁGUA   FORNECIMENTO E INSTALAÇÃO. AF_12/2014_P</v>
      </c>
      <c r="E700" s="91" t="str">
        <f>IFERROR(VLOOKUP($A700,[6]P.O.!$A:$J,5,),"")</f>
        <v>UN</v>
      </c>
      <c r="F700" s="139">
        <f>IFERROR(VLOOKUP($A700,[6]P.O.!$A:$J,6,),"")</f>
        <v>1</v>
      </c>
      <c r="G700" s="140">
        <f>IFERROR(VLOOKUP($A700,[6]P.O.!$A:$J,7,),"")</f>
        <v>13.08</v>
      </c>
      <c r="H700" s="140">
        <f>IFERROR(VLOOKUP($A700,[6]P.O.!$A:$J,8,),"")</f>
        <v>16.350000000000001</v>
      </c>
      <c r="I700" s="140">
        <f>IFERROR(VLOOKUP($A700,[6]P.O.!$A:$J,9,),"")</f>
        <v>16.350000000000001</v>
      </c>
      <c r="J700" s="159">
        <f t="shared" si="72"/>
        <v>7.693514909947197E-6</v>
      </c>
      <c r="K700" s="145">
        <f>IFERROR(VLOOKUP($A700,[6]P.O.!$A:$J,10,),"")</f>
        <v>0.25</v>
      </c>
      <c r="L700" s="265"/>
    </row>
    <row r="701" spans="1:12" s="232" customFormat="1" ht="33">
      <c r="A701" s="76" t="s">
        <v>595</v>
      </c>
      <c r="B701" s="77">
        <f>IFERROR(VLOOKUP($A701,[6]P.O.!$A:$J,2,),"")</f>
        <v>89395</v>
      </c>
      <c r="C701" s="77" t="str">
        <f>IFERROR(VLOOKUP($A701,[6]P.O.!$A:$J,3,),"")</f>
        <v>SINAPI SERVIÇO</v>
      </c>
      <c r="D701" s="78" t="str">
        <f>IFERROR(VLOOKUP($A701,[6]P.O.!$A:$J,4,),"")</f>
        <v>TE, PVC, SOLDÁVEL, DN 25MM, INSTALADO EM RAMAL OU SUB-RAMAL DE ÁGUA FORNECIMENTO E INSTALAÇÃO. AF_12/2014_P</v>
      </c>
      <c r="E701" s="91" t="str">
        <f>IFERROR(VLOOKUP($A701,[6]P.O.!$A:$J,5,),"")</f>
        <v>UN</v>
      </c>
      <c r="F701" s="139">
        <f>IFERROR(VLOOKUP($A701,[6]P.O.!$A:$J,6,),"")</f>
        <v>18</v>
      </c>
      <c r="G701" s="140">
        <f>IFERROR(VLOOKUP($A701,[6]P.O.!$A:$J,7,),"")</f>
        <v>7.44</v>
      </c>
      <c r="H701" s="140">
        <f>IFERROR(VLOOKUP($A701,[6]P.O.!$A:$J,8,),"")</f>
        <v>9.3000000000000007</v>
      </c>
      <c r="I701" s="140">
        <f>IFERROR(VLOOKUP($A701,[6]P.O.!$A:$J,9,),"")</f>
        <v>167.4</v>
      </c>
      <c r="J701" s="159">
        <f t="shared" si="72"/>
        <v>7.8770299444963962E-5</v>
      </c>
      <c r="K701" s="145">
        <f>IFERROR(VLOOKUP($A701,[6]P.O.!$A:$J,10,),"")</f>
        <v>0.25</v>
      </c>
      <c r="L701" s="265"/>
    </row>
    <row r="702" spans="1:12" s="232" customFormat="1" ht="33">
      <c r="A702" s="76" t="s">
        <v>596</v>
      </c>
      <c r="B702" s="77">
        <f>IFERROR(VLOOKUP($A702,[6]P.O.!$A:$J,2,),"")</f>
        <v>89396</v>
      </c>
      <c r="C702" s="77" t="str">
        <f>IFERROR(VLOOKUP($A702,[6]P.O.!$A:$J,3,),"")</f>
        <v>SINAPI SERVIÇO</v>
      </c>
      <c r="D702" s="78" t="str">
        <f>IFERROR(VLOOKUP($A702,[6]P.O.!$A:$J,4,),"")</f>
        <v>TÊ COM BUCHA DE LATÃO NA BOLSA CENTRAL, PVC, SOLDÁVEL, DN 25MM X 1/2,   INSTALADO EM RAMAL OU SUB-RAMAL DE ÁGUA   FORNECIMENTO E INSTALAÇÃO.AF_12/2014_P</v>
      </c>
      <c r="E702" s="91" t="str">
        <f>IFERROR(VLOOKUP($A702,[6]P.O.!$A:$J,5,),"")</f>
        <v>UN</v>
      </c>
      <c r="F702" s="139">
        <f>IFERROR(VLOOKUP($A702,[6]P.O.!$A:$J,6,),"")</f>
        <v>2</v>
      </c>
      <c r="G702" s="140">
        <f>IFERROR(VLOOKUP($A702,[6]P.O.!$A:$J,7,),"")</f>
        <v>16.690000000000001</v>
      </c>
      <c r="H702" s="140">
        <f>IFERROR(VLOOKUP($A702,[6]P.O.!$A:$J,8,),"")</f>
        <v>20.86</v>
      </c>
      <c r="I702" s="140">
        <f>IFERROR(VLOOKUP($A702,[6]P.O.!$A:$J,9,),"")</f>
        <v>41.72</v>
      </c>
      <c r="J702" s="159">
        <f t="shared" si="72"/>
        <v>1.9631403183057923E-5</v>
      </c>
      <c r="K702" s="145">
        <f>IFERROR(VLOOKUP($A702,[6]P.O.!$A:$J,10,),"")</f>
        <v>0.25</v>
      </c>
      <c r="L702" s="265"/>
    </row>
    <row r="703" spans="1:12" s="232" customFormat="1" ht="33">
      <c r="A703" s="76" t="s">
        <v>597</v>
      </c>
      <c r="B703" s="77">
        <f>IFERROR(VLOOKUP($A703,[6]P.O.!$A:$J,2,),"")</f>
        <v>89397</v>
      </c>
      <c r="C703" s="77" t="str">
        <f>IFERROR(VLOOKUP($A703,[6]P.O.!$A:$J,3,),"")</f>
        <v>SINAPI SERVIÇO</v>
      </c>
      <c r="D703" s="78" t="str">
        <f>IFERROR(VLOOKUP($A703,[6]P.O.!$A:$J,4,),"")</f>
        <v>TÊ DE REDUÇÃO, PVC, SOLDÁVEL, DN 25MM X 20MM, INSTALADO EM RAMAL OU SUB-RAMAL DE ÁGUA   FORNECIMENTO E INSTALAÇÃO. AF_12/2014_P</v>
      </c>
      <c r="E703" s="91" t="str">
        <f>IFERROR(VLOOKUP($A703,[6]P.O.!$A:$J,5,),"")</f>
        <v>UN</v>
      </c>
      <c r="F703" s="139">
        <f>IFERROR(VLOOKUP($A703,[6]P.O.!$A:$J,6,),"")</f>
        <v>7</v>
      </c>
      <c r="G703" s="140">
        <f>IFERROR(VLOOKUP($A703,[6]P.O.!$A:$J,7,),"")</f>
        <v>9.25</v>
      </c>
      <c r="H703" s="140">
        <f>IFERROR(VLOOKUP($A703,[6]P.O.!$A:$J,8,),"")</f>
        <v>11.56</v>
      </c>
      <c r="I703" s="140">
        <f>IFERROR(VLOOKUP($A703,[6]P.O.!$A:$J,9,),"")</f>
        <v>80.92</v>
      </c>
      <c r="J703" s="159">
        <f t="shared" si="72"/>
        <v>3.8077016912105635E-5</v>
      </c>
      <c r="K703" s="145">
        <f>IFERROR(VLOOKUP($A703,[6]P.O.!$A:$J,10,),"")</f>
        <v>0.25</v>
      </c>
      <c r="L703" s="265"/>
    </row>
    <row r="704" spans="1:12" s="232" customFormat="1">
      <c r="A704" s="76"/>
      <c r="B704" s="77"/>
      <c r="C704" s="77"/>
      <c r="D704" s="78"/>
      <c r="E704" s="91"/>
      <c r="F704" s="139"/>
      <c r="G704" s="140"/>
      <c r="H704" s="140"/>
      <c r="I704" s="140"/>
      <c r="J704" s="159"/>
      <c r="K704" s="141"/>
    </row>
    <row r="705" spans="1:12" s="235" customFormat="1">
      <c r="A705" s="95" t="s">
        <v>598</v>
      </c>
      <c r="B705" s="110"/>
      <c r="C705" s="110"/>
      <c r="D705" s="97" t="str">
        <f>IFERROR(VLOOKUP($A705,[6]P.O.!$A:$J,4,),"")</f>
        <v>REGISTROS</v>
      </c>
      <c r="E705" s="96"/>
      <c r="F705" s="163"/>
      <c r="G705" s="180"/>
      <c r="H705" s="180"/>
      <c r="I705" s="180"/>
      <c r="J705" s="165"/>
      <c r="K705" s="181"/>
    </row>
    <row r="706" spans="1:12" s="232" customFormat="1">
      <c r="A706" s="76" t="s">
        <v>599</v>
      </c>
      <c r="B706" s="77" t="str">
        <f>IFERROR(VLOOKUP($A706,[6]P.O.!$A:$J,2,),"")</f>
        <v>74183/001</v>
      </c>
      <c r="C706" s="77" t="str">
        <f>IFERROR(VLOOKUP($A706,[6]P.O.!$A:$J,3,),"")</f>
        <v>SINAPI SERVIÇO</v>
      </c>
      <c r="D706" s="78" t="str">
        <f>IFERROR(VLOOKUP($A706,[6]P.O.!$A:$J,4,),"")</f>
        <v>REGISTRO GAVETA 1.1/4" BRUTO LATAO - FORNECIMENTO E INSTALACAO</v>
      </c>
      <c r="E706" s="91" t="str">
        <f>IFERROR(VLOOKUP($A706,[6]P.O.!$A:$J,5,),"")</f>
        <v>UN</v>
      </c>
      <c r="F706" s="139">
        <f>IFERROR(VLOOKUP($A706,[6]P.O.!$A:$J,6,),"")</f>
        <v>1</v>
      </c>
      <c r="G706" s="140">
        <f>IFERROR(VLOOKUP($A706,[6]P.O.!$A:$J,7,),"")</f>
        <v>77.34</v>
      </c>
      <c r="H706" s="140">
        <f>IFERROR(VLOOKUP($A706,[6]P.O.!$A:$J,8,),"")</f>
        <v>96.68</v>
      </c>
      <c r="I706" s="140">
        <f>IFERROR(VLOOKUP($A706,[6]P.O.!$A:$J,9,),"")</f>
        <v>96.68</v>
      </c>
      <c r="J706" s="159">
        <f t="shared" ref="J706:J710" si="73">IF(I706="","",I706/$E$777)</f>
        <v>4.5492906513375843E-5</v>
      </c>
      <c r="K706" s="145">
        <f>IFERROR(VLOOKUP($A706,[6]P.O.!$A:$J,10,),"")</f>
        <v>0.25</v>
      </c>
      <c r="L706" s="265"/>
    </row>
    <row r="707" spans="1:12" s="232" customFormat="1" ht="33">
      <c r="A707" s="76" t="s">
        <v>600</v>
      </c>
      <c r="B707" s="77">
        <f>IFERROR(VLOOKUP($A707,[6]P.O.!$A:$J,2,),"")</f>
        <v>89987</v>
      </c>
      <c r="C707" s="77" t="str">
        <f>IFERROR(VLOOKUP($A707,[6]P.O.!$A:$J,3,),"")</f>
        <v>SINAPI SERVIÇO</v>
      </c>
      <c r="D707" s="78" t="str">
        <f>IFERROR(VLOOKUP($A707,[6]P.O.!$A:$J,4,),"")</f>
        <v>REGISTRO DE GAVETA BRUTO, LATÃO, ROSCÁVEL, 3/4, COM ACABAMENTO E CANOPLA CROMADOS. FORNECIDO E INSTALADO EM RAMAL DE ÁGUA. AF_12/2014</v>
      </c>
      <c r="E707" s="91" t="str">
        <f>IFERROR(VLOOKUP($A707,[6]P.O.!$A:$J,5,),"")</f>
        <v>UN</v>
      </c>
      <c r="F707" s="139">
        <f>IFERROR(VLOOKUP($A707,[6]P.O.!$A:$J,6,),"")</f>
        <v>9</v>
      </c>
      <c r="G707" s="140">
        <f>IFERROR(VLOOKUP($A707,[6]P.O.!$A:$J,7,),"")</f>
        <v>68.58</v>
      </c>
      <c r="H707" s="140">
        <f>IFERROR(VLOOKUP($A707,[6]P.O.!$A:$J,8,),"")</f>
        <v>85.73</v>
      </c>
      <c r="I707" s="140">
        <f>IFERROR(VLOOKUP($A707,[6]P.O.!$A:$J,9,),"")</f>
        <v>771.57</v>
      </c>
      <c r="J707" s="159">
        <f t="shared" si="73"/>
        <v>3.6306332104391184E-4</v>
      </c>
      <c r="K707" s="145">
        <f>IFERROR(VLOOKUP($A707,[6]P.O.!$A:$J,10,),"")</f>
        <v>0.25</v>
      </c>
      <c r="L707" s="265"/>
    </row>
    <row r="708" spans="1:12" s="232" customFormat="1" ht="33">
      <c r="A708" s="76" t="s">
        <v>601</v>
      </c>
      <c r="B708" s="77">
        <f>IFERROR(VLOOKUP($A708,[6]P.O.!$A:$J,2,),"")</f>
        <v>89985</v>
      </c>
      <c r="C708" s="77" t="str">
        <f>IFERROR(VLOOKUP($A708,[6]P.O.!$A:$J,3,),"")</f>
        <v>SINAPI SERVIÇO</v>
      </c>
      <c r="D708" s="78" t="str">
        <f>IFERROR(VLOOKUP($A708,[6]P.O.!$A:$J,4,),"")</f>
        <v>REGISTRO DE PRESSÃO BRUTO, LATÃO, ROSCÁVEL, 3/4, COM ACABAMENTO E CANOPLA CROMADOS. FORNECIDO E INSTALADO EM RAMAL DE ÁGUA. AF_12/2014</v>
      </c>
      <c r="E708" s="91" t="str">
        <f>IFERROR(VLOOKUP($A708,[6]P.O.!$A:$J,5,),"")</f>
        <v>UN</v>
      </c>
      <c r="F708" s="139">
        <f>IFERROR(VLOOKUP($A708,[6]P.O.!$A:$J,6,),"")</f>
        <v>2</v>
      </c>
      <c r="G708" s="140">
        <f>IFERROR(VLOOKUP($A708,[6]P.O.!$A:$J,7,),"")</f>
        <v>65.099999999999994</v>
      </c>
      <c r="H708" s="140">
        <f>IFERROR(VLOOKUP($A708,[6]P.O.!$A:$J,8,),"")</f>
        <v>81.38</v>
      </c>
      <c r="I708" s="140">
        <f>IFERROR(VLOOKUP($A708,[6]P.O.!$A:$J,9,),"")</f>
        <v>162.76</v>
      </c>
      <c r="J708" s="159">
        <f t="shared" si="73"/>
        <v>7.6586941085199123E-5</v>
      </c>
      <c r="K708" s="145">
        <f>IFERROR(VLOOKUP($A708,[6]P.O.!$A:$J,10,),"")</f>
        <v>0.25</v>
      </c>
      <c r="L708" s="265"/>
    </row>
    <row r="709" spans="1:12" s="232" customFormat="1" ht="33">
      <c r="A709" s="76" t="s">
        <v>602</v>
      </c>
      <c r="B709" s="77" t="str">
        <f>IFERROR(VLOOKUP($A709,[6]P.O.!$A:$J,2,),"")</f>
        <v>COMPS27033</v>
      </c>
      <c r="C709" s="77" t="str">
        <f>IFERROR(VLOOKUP($A709,[6]P.O.!$A:$J,3,),"")</f>
        <v>COMPOSIÇÃO</v>
      </c>
      <c r="D709" s="78" t="str">
        <f>IFERROR(VLOOKUP($A709,[6]P.O.!$A:$J,4,),"")</f>
        <v>VALVULA DESCARGA 1 1/4" C/ REGISTRO - ACABAMENTO EM METAL CROMADO  - FORNECIMENTO E INSTALAÇÃO</v>
      </c>
      <c r="E709" s="91" t="str">
        <f>IFERROR(VLOOKUP($A709,[6]P.O.!$A:$J,5,),"")</f>
        <v>PÇ</v>
      </c>
      <c r="F709" s="139">
        <f>IFERROR(VLOOKUP($A709,[6]P.O.!$A:$J,6,),"")</f>
        <v>1</v>
      </c>
      <c r="G709" s="140">
        <f>IFERROR(VLOOKUP($A709,[6]P.O.!$A:$J,7,),"")</f>
        <v>235.38</v>
      </c>
      <c r="H709" s="140">
        <f>IFERROR(VLOOKUP($A709,[6]P.O.!$A:$J,8,),"")</f>
        <v>294.23</v>
      </c>
      <c r="I709" s="140">
        <f>IFERROR(VLOOKUP($A709,[6]P.O.!$A:$J,9,),"")</f>
        <v>294.23</v>
      </c>
      <c r="J709" s="159">
        <f t="shared" si="73"/>
        <v>1.3845032978310483E-4</v>
      </c>
      <c r="K709" s="145">
        <f>IFERROR(VLOOKUP($A709,[6]P.O.!$A:$J,10,),"")</f>
        <v>0.25</v>
      </c>
      <c r="L709" s="265"/>
    </row>
    <row r="710" spans="1:12" s="232" customFormat="1" ht="33">
      <c r="A710" s="76" t="s">
        <v>603</v>
      </c>
      <c r="B710" s="77" t="str">
        <f>IFERROR(VLOOKUP($A710,[6]P.O.!$A:$J,2,),"")</f>
        <v>COMPS27034</v>
      </c>
      <c r="C710" s="77" t="str">
        <f>IFERROR(VLOOKUP($A710,[6]P.O.!$A:$J,3,),"")</f>
        <v>COMPOSIÇÃO</v>
      </c>
      <c r="D710" s="78" t="str">
        <f>IFERROR(VLOOKUP($A710,[6]P.O.!$A:$J,4,),"")</f>
        <v>BOMBA CENTRIFUGA MONOESTAGIO ROTOR FECHADO 1CV - SCHNAIDER ASP-56 S OU EQUIVALENTE TECNICO - FORNECIMENTO E INSTALAÇÃO</v>
      </c>
      <c r="E710" s="91" t="str">
        <f>IFERROR(VLOOKUP($A710,[6]P.O.!$A:$J,5,),"")</f>
        <v>UNID.</v>
      </c>
      <c r="F710" s="139">
        <f>IFERROR(VLOOKUP($A710,[6]P.O.!$A:$J,6,),"")</f>
        <v>2</v>
      </c>
      <c r="G710" s="140">
        <f>IFERROR(VLOOKUP($A710,[6]P.O.!$A:$J,7,),"")</f>
        <v>942.8</v>
      </c>
      <c r="H710" s="140">
        <f>IFERROR(VLOOKUP($A710,[6]P.O.!$A:$J,8,),"")</f>
        <v>1178.5</v>
      </c>
      <c r="I710" s="140">
        <f>IFERROR(VLOOKUP($A710,[6]P.O.!$A:$J,9,),"")</f>
        <v>2357</v>
      </c>
      <c r="J710" s="159">
        <f t="shared" si="73"/>
        <v>1.1090895805960575E-3</v>
      </c>
      <c r="K710" s="145">
        <f>IFERROR(VLOOKUP($A710,[6]P.O.!$A:$J,10,),"")</f>
        <v>0.25</v>
      </c>
      <c r="L710" s="265"/>
    </row>
    <row r="711" spans="1:12" s="232" customFormat="1">
      <c r="A711" s="76"/>
      <c r="B711" s="77"/>
      <c r="C711" s="77"/>
      <c r="D711" s="78"/>
      <c r="E711" s="91"/>
      <c r="F711" s="139"/>
      <c r="G711" s="140"/>
      <c r="H711" s="140"/>
      <c r="I711" s="140"/>
      <c r="J711" s="159"/>
      <c r="K711" s="141"/>
    </row>
    <row r="712" spans="1:12" s="231" customFormat="1">
      <c r="A712" s="6" t="s">
        <v>604</v>
      </c>
      <c r="B712" s="25"/>
      <c r="C712" s="25"/>
      <c r="D712" s="32" t="s">
        <v>605</v>
      </c>
      <c r="E712" s="135"/>
      <c r="F712" s="136"/>
      <c r="G712" s="137"/>
      <c r="H712" s="137"/>
      <c r="I712" s="137">
        <f>SUM(I713:I737)</f>
        <v>3854.9099999999994</v>
      </c>
      <c r="J712" s="230">
        <f>IF(I712="","",I712/$E$777)</f>
        <v>1.8139331841898801E-3</v>
      </c>
      <c r="K712" s="138"/>
    </row>
    <row r="713" spans="1:12" s="232" customFormat="1">
      <c r="A713" s="76"/>
      <c r="B713" s="77"/>
      <c r="C713" s="77"/>
      <c r="D713" s="78"/>
      <c r="E713" s="91"/>
      <c r="F713" s="139"/>
      <c r="G713" s="140"/>
      <c r="H713" s="140"/>
      <c r="I713" s="140"/>
      <c r="J713" s="159"/>
      <c r="K713" s="141"/>
    </row>
    <row r="714" spans="1:12" s="235" customFormat="1">
      <c r="A714" s="95" t="s">
        <v>606</v>
      </c>
      <c r="B714" s="110"/>
      <c r="C714" s="110"/>
      <c r="D714" s="97" t="str">
        <f>IFERROR(VLOOKUP($A714,[6]P.O.!$A:$J,4,),"")</f>
        <v>TUBULAÇÃO</v>
      </c>
      <c r="E714" s="96" t="str">
        <f>IFERROR(VLOOKUP($A714,[6]P.O.!$A:$J,5,),"")</f>
        <v/>
      </c>
      <c r="F714" s="163"/>
      <c r="G714" s="180" t="str">
        <f>IFERROR(VLOOKUP($A714,[6]P.O.!$A:$J,7,),"")</f>
        <v/>
      </c>
      <c r="H714" s="180" t="str">
        <f>IFERROR(VLOOKUP($A714,[6]P.O.!$A:$J,8,),"")</f>
        <v/>
      </c>
      <c r="I714" s="180"/>
      <c r="J714" s="165"/>
      <c r="K714" s="181"/>
    </row>
    <row r="715" spans="1:12" s="232" customFormat="1" ht="33">
      <c r="A715" s="76" t="s">
        <v>607</v>
      </c>
      <c r="B715" s="77">
        <f>IFERROR(VLOOKUP($A715,[6]P.O.!$A:$J,2,),"")</f>
        <v>89800</v>
      </c>
      <c r="C715" s="77" t="str">
        <f>IFERROR(VLOOKUP($A715,[6]P.O.!$A:$J,3,),"")</f>
        <v>SINAPI SERVIÇO</v>
      </c>
      <c r="D715" s="78" t="str">
        <f>IFERROR(VLOOKUP($A715,[6]P.O.!$A:$J,4,),"")</f>
        <v>TUBO PVC, SERIE NORMAL, ESGOTO PREDIAL, DN 100 MM, FORNECIDO E INSTALADO EM PRUMADA DE ESGOTO SANITÁRIO OU VENTILAÇÃO. AF_12/2014_P</v>
      </c>
      <c r="E715" s="91" t="str">
        <f>IFERROR(VLOOKUP($A715,[6]P.O.!$A:$J,5,),"")</f>
        <v>M</v>
      </c>
      <c r="F715" s="139">
        <f>IFERROR(VLOOKUP($A715,[6]P.O.!$A:$J,6,),"")</f>
        <v>61.69</v>
      </c>
      <c r="G715" s="140">
        <f>IFERROR(VLOOKUP($A715,[6]P.O.!$A:$J,7,),"")</f>
        <v>14</v>
      </c>
      <c r="H715" s="140">
        <f>IFERROR(VLOOKUP($A715,[6]P.O.!$A:$J,8,),"")</f>
        <v>17.5</v>
      </c>
      <c r="I715" s="140">
        <f>IFERROR(VLOOKUP($A715,[6]P.O.!$A:$J,9,),"")</f>
        <v>1079.58</v>
      </c>
      <c r="J715" s="159">
        <f t="shared" ref="J715:J735" si="74">IF(I715="","",I715/$E$777)</f>
        <v>5.079978487144216E-4</v>
      </c>
      <c r="K715" s="145">
        <f>IFERROR(VLOOKUP($A715,[6]P.O.!$A:$J,10,),"")</f>
        <v>0.25</v>
      </c>
      <c r="L715" s="265"/>
    </row>
    <row r="716" spans="1:12" s="232" customFormat="1">
      <c r="A716" s="76" t="s">
        <v>608</v>
      </c>
      <c r="B716" s="77" t="str">
        <f>IFERROR(VLOOKUP($A716,[6]P.O.!$A:$J,2,),"")</f>
        <v>COMPS27036</v>
      </c>
      <c r="C716" s="77" t="str">
        <f>IFERROR(VLOOKUP($A716,[6]P.O.!$A:$J,3,),"")</f>
        <v>COMPOSIÇÃO</v>
      </c>
      <c r="D716" s="78" t="str">
        <f>IFERROR(VLOOKUP($A716,[6]P.O.!$A:$J,4,),"")</f>
        <v>FORNECIMENTO E INSTALAÇÃO DE TUBO PVC ESG SERIE NORMAL  75MM</v>
      </c>
      <c r="E716" s="91" t="str">
        <f>IFERROR(VLOOKUP($A716,[6]P.O.!$A:$J,5,),"")</f>
        <v>M</v>
      </c>
      <c r="F716" s="139">
        <f>IFERROR(VLOOKUP($A716,[6]P.O.!$A:$J,6,),"")</f>
        <v>23.83</v>
      </c>
      <c r="G716" s="140">
        <f>IFERROR(VLOOKUP($A716,[6]P.O.!$A:$J,7,),"")</f>
        <v>21.97</v>
      </c>
      <c r="H716" s="140">
        <f>IFERROR(VLOOKUP($A716,[6]P.O.!$A:$J,8,),"")</f>
        <v>27.46</v>
      </c>
      <c r="I716" s="140">
        <f>IFERROR(VLOOKUP($A716,[6]P.O.!$A:$J,9,),"")</f>
        <v>654.37</v>
      </c>
      <c r="J716" s="159">
        <f t="shared" si="74"/>
        <v>3.079147004050243E-4</v>
      </c>
      <c r="K716" s="145">
        <f>IFERROR(VLOOKUP($A716,[6]P.O.!$A:$J,10,),"")</f>
        <v>0.25</v>
      </c>
      <c r="L716" s="265"/>
    </row>
    <row r="717" spans="1:12" s="232" customFormat="1">
      <c r="A717" s="76" t="s">
        <v>609</v>
      </c>
      <c r="B717" s="77" t="str">
        <f>IFERROR(VLOOKUP($A717,[6]P.O.!$A:$J,2,),"")</f>
        <v>COMPS27018</v>
      </c>
      <c r="C717" s="77" t="str">
        <f>IFERROR(VLOOKUP($A717,[6]P.O.!$A:$J,3,),"")</f>
        <v>COMPOSIÇÃO</v>
      </c>
      <c r="D717" s="78" t="str">
        <f>IFERROR(VLOOKUP($A717,[6]P.O.!$A:$J,4,),"")</f>
        <v>FORNECIMENTO E INSTALAÇÃO DE TUBO PVC ESG SERIE NORMAL  50MM</v>
      </c>
      <c r="E717" s="91" t="str">
        <f>IFERROR(VLOOKUP($A717,[6]P.O.!$A:$J,5,),"")</f>
        <v>M</v>
      </c>
      <c r="F717" s="139">
        <f>IFERROR(VLOOKUP($A717,[6]P.O.!$A:$J,6,),"")</f>
        <v>14.23</v>
      </c>
      <c r="G717" s="140">
        <f>IFERROR(VLOOKUP($A717,[6]P.O.!$A:$J,7,),"")</f>
        <v>14.190000000000001</v>
      </c>
      <c r="H717" s="140">
        <f>IFERROR(VLOOKUP($A717,[6]P.O.!$A:$J,8,),"")</f>
        <v>17.739999999999998</v>
      </c>
      <c r="I717" s="140">
        <f>IFERROR(VLOOKUP($A717,[6]P.O.!$A:$J,9,),"")</f>
        <v>252.44</v>
      </c>
      <c r="J717" s="159">
        <f t="shared" si="74"/>
        <v>1.1878598800410215E-4</v>
      </c>
      <c r="K717" s="145">
        <f>IFERROR(VLOOKUP($A717,[6]P.O.!$A:$J,10,),"")</f>
        <v>0.25</v>
      </c>
      <c r="L717" s="265"/>
    </row>
    <row r="718" spans="1:12" s="232" customFormat="1">
      <c r="A718" s="76" t="s">
        <v>610</v>
      </c>
      <c r="B718" s="77" t="str">
        <f>IFERROR(VLOOKUP($A718,[6]P.O.!$A:$J,2,),"")</f>
        <v>COMPS27017</v>
      </c>
      <c r="C718" s="77" t="str">
        <f>IFERROR(VLOOKUP($A718,[6]P.O.!$A:$J,3,),"")</f>
        <v>COMPOSIÇÃO</v>
      </c>
      <c r="D718" s="78" t="str">
        <f>IFERROR(VLOOKUP($A718,[6]P.O.!$A:$J,4,),"")</f>
        <v>FORNECIMENTO E INSTALAÇÃO DE TUBO PVC ESG SERIE NORMAL  40MM</v>
      </c>
      <c r="E718" s="91" t="str">
        <f>IFERROR(VLOOKUP($A718,[6]P.O.!$A:$J,5,),"")</f>
        <v>M</v>
      </c>
      <c r="F718" s="139">
        <f>IFERROR(VLOOKUP($A718,[6]P.O.!$A:$J,6,),"")</f>
        <v>8.34</v>
      </c>
      <c r="G718" s="140">
        <f>IFERROR(VLOOKUP($A718,[6]P.O.!$A:$J,7,),"")</f>
        <v>10.11</v>
      </c>
      <c r="H718" s="140">
        <f>IFERROR(VLOOKUP($A718,[6]P.O.!$A:$J,8,),"")</f>
        <v>12.64</v>
      </c>
      <c r="I718" s="140">
        <f>IFERROR(VLOOKUP($A718,[6]P.O.!$A:$J,9,),"")</f>
        <v>105.42</v>
      </c>
      <c r="J718" s="159">
        <f t="shared" si="74"/>
        <v>4.9605525492760455E-5</v>
      </c>
      <c r="K718" s="145">
        <f>IFERROR(VLOOKUP($A718,[6]P.O.!$A:$J,10,),"")</f>
        <v>0.25</v>
      </c>
      <c r="L718" s="265"/>
    </row>
    <row r="719" spans="1:12" s="232" customFormat="1" ht="33">
      <c r="A719" s="76" t="s">
        <v>611</v>
      </c>
      <c r="B719" s="77" t="str">
        <f>IFERROR(VLOOKUP($A719,[6]P.O.!$A:$J,2,),"")</f>
        <v>COMPS27020</v>
      </c>
      <c r="C719" s="77" t="str">
        <f>IFERROR(VLOOKUP($A719,[6]P.O.!$A:$J,3,),"")</f>
        <v>COMPOSIÇÃO</v>
      </c>
      <c r="D719" s="78" t="str">
        <f>IFERROR(VLOOKUP($A719,[6]P.O.!$A:$J,4,),"")</f>
        <v>FORNECIMENTO E INSTALAÇÃO DE CAIXA SIFONADA DE 100X150X50MM /FAB.: TIGRE OU EQUIVANTE TÉCNICO, INCLUSIVE GRELHA E PORTA GRELHA</v>
      </c>
      <c r="E719" s="91" t="str">
        <f>IFERROR(VLOOKUP($A719,[6]P.O.!$A:$J,5,),"")</f>
        <v>PÇ</v>
      </c>
      <c r="F719" s="139">
        <f>IFERROR(VLOOKUP($A719,[6]P.O.!$A:$J,6,),"")</f>
        <v>12</v>
      </c>
      <c r="G719" s="140">
        <f>IFERROR(VLOOKUP($A719,[6]P.O.!$A:$J,7,),"")</f>
        <v>25.160000000000004</v>
      </c>
      <c r="H719" s="140">
        <f>IFERROR(VLOOKUP($A719,[6]P.O.!$A:$J,8,),"")</f>
        <v>31.45</v>
      </c>
      <c r="I719" s="140">
        <f>IFERROR(VLOOKUP($A719,[6]P.O.!$A:$J,9,),"")</f>
        <v>377.4</v>
      </c>
      <c r="J719" s="159">
        <f t="shared" si="74"/>
        <v>1.7758608727914811E-4</v>
      </c>
      <c r="K719" s="145">
        <f>IFERROR(VLOOKUP($A719,[6]P.O.!$A:$J,10,),"")</f>
        <v>0.25</v>
      </c>
      <c r="L719" s="265"/>
    </row>
    <row r="720" spans="1:12" s="232" customFormat="1" ht="33">
      <c r="A720" s="76" t="s">
        <v>612</v>
      </c>
      <c r="B720" s="77">
        <f>IFERROR(VLOOKUP($A720,[6]P.O.!$A:$J,2,),"")</f>
        <v>89810</v>
      </c>
      <c r="C720" s="77" t="str">
        <f>IFERROR(VLOOKUP($A720,[6]P.O.!$A:$J,3,),"")</f>
        <v>SINAPI SERVIÇO</v>
      </c>
      <c r="D720" s="78" t="str">
        <f>IFERROR(VLOOKUP($A720,[6]P.O.!$A:$J,4,),"")</f>
        <v>JOELHO 45 GRAUS, PVC, SERIE NORMAL, ESGOTO PREDIAL, DN 100 MM, JUNTA E   LÁSTICA, FORNECIDO E INSTALADO EM PRUMADA DE ESGOTO SANITÁRIO OU VENTILAÇÃO. AF_12/2014</v>
      </c>
      <c r="E720" s="91" t="str">
        <f>IFERROR(VLOOKUP($A720,[6]P.O.!$A:$J,5,),"")</f>
        <v>UN</v>
      </c>
      <c r="F720" s="139">
        <f>IFERROR(VLOOKUP($A720,[6]P.O.!$A:$J,6,),"")</f>
        <v>8</v>
      </c>
      <c r="G720" s="140">
        <f>IFERROR(VLOOKUP($A720,[6]P.O.!$A:$J,7,),"")</f>
        <v>11.77</v>
      </c>
      <c r="H720" s="140">
        <f>IFERROR(VLOOKUP($A720,[6]P.O.!$A:$J,8,),"")</f>
        <v>14.71</v>
      </c>
      <c r="I720" s="140">
        <f>IFERROR(VLOOKUP($A720,[6]P.O.!$A:$J,9,),"")</f>
        <v>117.68</v>
      </c>
      <c r="J720" s="159">
        <f t="shared" si="74"/>
        <v>5.5374485296794255E-5</v>
      </c>
      <c r="K720" s="145">
        <f>IFERROR(VLOOKUP($A720,[6]P.O.!$A:$J,10,),"")</f>
        <v>0.25</v>
      </c>
      <c r="L720" s="265"/>
    </row>
    <row r="721" spans="1:12" s="232" customFormat="1" ht="33">
      <c r="A721" s="76" t="s">
        <v>613</v>
      </c>
      <c r="B721" s="77">
        <f>IFERROR(VLOOKUP($A721,[6]P.O.!$A:$J,2,),"")</f>
        <v>89802</v>
      </c>
      <c r="C721" s="77" t="str">
        <f>IFERROR(VLOOKUP($A721,[6]P.O.!$A:$J,3,),"")</f>
        <v>SINAPI SERVIÇO</v>
      </c>
      <c r="D721" s="78" t="str">
        <f>IFERROR(VLOOKUP($A721,[6]P.O.!$A:$J,4,),"")</f>
        <v>JOELHO 45 GRAUS, PVC, SERIE NORMAL, ESGOTO PREDIAL, DN 50 MM, JUNTA ELÁSTICA, FORNECIDO E INSTALADO EM PRUMADA DE ESGOTO SANITÁRIO OU VENTILAÇÃO. AF_12/2014</v>
      </c>
      <c r="E721" s="91" t="str">
        <f>IFERROR(VLOOKUP($A721,[6]P.O.!$A:$J,5,),"")</f>
        <v>UN</v>
      </c>
      <c r="F721" s="139">
        <f>IFERROR(VLOOKUP($A721,[6]P.O.!$A:$J,6,),"")</f>
        <v>8</v>
      </c>
      <c r="G721" s="140">
        <f>IFERROR(VLOOKUP($A721,[6]P.O.!$A:$J,7,),"")</f>
        <v>4.93</v>
      </c>
      <c r="H721" s="140">
        <f>IFERROR(VLOOKUP($A721,[6]P.O.!$A:$J,8,),"")</f>
        <v>6.16</v>
      </c>
      <c r="I721" s="140">
        <f>IFERROR(VLOOKUP($A721,[6]P.O.!$A:$J,9,),"")</f>
        <v>49.28</v>
      </c>
      <c r="J721" s="159">
        <f t="shared" si="74"/>
        <v>2.3188771545088552E-5</v>
      </c>
      <c r="K721" s="145">
        <f>IFERROR(VLOOKUP($A721,[6]P.O.!$A:$J,10,),"")</f>
        <v>0.25</v>
      </c>
      <c r="L721" s="265"/>
    </row>
    <row r="722" spans="1:12" s="232" customFormat="1" ht="49.5">
      <c r="A722" s="76" t="s">
        <v>614</v>
      </c>
      <c r="B722" s="77">
        <f>IFERROR(VLOOKUP($A722,[6]P.O.!$A:$J,2,),"")</f>
        <v>89726</v>
      </c>
      <c r="C722" s="77" t="str">
        <f>IFERROR(VLOOKUP($A722,[6]P.O.!$A:$J,3,),"")</f>
        <v>SINAPI SERVIÇO</v>
      </c>
      <c r="D722" s="78" t="str">
        <f>IFERROR(VLOOKUP($A722,[6]P.O.!$A:$J,4,),"")</f>
        <v>JOELHO 45 GRAUS, PVC, SERIE NORMAL, ESGOTO PREDIAL, DN 40 MM, JUNTA SOLDÁVEL, FORNECIDO E INSTALADO EM RAMAL DE DESCARGA OU RAMAL DE ESGOTOSANITÁRIO. AF_12/2014_P</v>
      </c>
      <c r="E722" s="91" t="str">
        <f>IFERROR(VLOOKUP($A722,[6]P.O.!$A:$J,5,),"")</f>
        <v>UN</v>
      </c>
      <c r="F722" s="139">
        <f>IFERROR(VLOOKUP($A722,[6]P.O.!$A:$J,6,),"")</f>
        <v>9</v>
      </c>
      <c r="G722" s="140">
        <f>IFERROR(VLOOKUP($A722,[6]P.O.!$A:$J,7,),"")</f>
        <v>5.21</v>
      </c>
      <c r="H722" s="140">
        <f>IFERROR(VLOOKUP($A722,[6]P.O.!$A:$J,8,),"")</f>
        <v>6.51</v>
      </c>
      <c r="I722" s="140">
        <f>IFERROR(VLOOKUP($A722,[6]P.O.!$A:$J,9,),"")</f>
        <v>58.59</v>
      </c>
      <c r="J722" s="159">
        <f t="shared" si="74"/>
        <v>2.7569604805737386E-5</v>
      </c>
      <c r="K722" s="145">
        <f>IFERROR(VLOOKUP($A722,[6]P.O.!$A:$J,10,),"")</f>
        <v>0.25</v>
      </c>
      <c r="L722" s="265"/>
    </row>
    <row r="723" spans="1:12" s="232" customFormat="1" ht="33">
      <c r="A723" s="76" t="s">
        <v>615</v>
      </c>
      <c r="B723" s="77">
        <f>IFERROR(VLOOKUP($A723,[6]P.O.!$A:$J,2,),"")</f>
        <v>89809</v>
      </c>
      <c r="C723" s="77" t="str">
        <f>IFERROR(VLOOKUP($A723,[6]P.O.!$A:$J,3,),"")</f>
        <v>SINAPI SERVIÇO</v>
      </c>
      <c r="D723" s="78" t="str">
        <f>IFERROR(VLOOKUP($A723,[6]P.O.!$A:$J,4,),"")</f>
        <v>JOELHO 90 GRAUS, PVC, SERIE NORMAL, ESGOTO PREDIAL, DN 100 MM, JUNTA ELÁSTICA, FORNECIDO E INSTALADO EM PRUMADA DE ESGOTO SANITÁRIO OU VENTILAÇÃO. AF_12/2014</v>
      </c>
      <c r="E723" s="91" t="str">
        <f>IFERROR(VLOOKUP($A723,[6]P.O.!$A:$J,5,),"")</f>
        <v>UN</v>
      </c>
      <c r="F723" s="139">
        <f>IFERROR(VLOOKUP($A723,[6]P.O.!$A:$J,6,),"")</f>
        <v>7</v>
      </c>
      <c r="G723" s="140">
        <f>IFERROR(VLOOKUP($A723,[6]P.O.!$A:$J,7,),"")</f>
        <v>12.28</v>
      </c>
      <c r="H723" s="140">
        <f>IFERROR(VLOOKUP($A723,[6]P.O.!$A:$J,8,),"")</f>
        <v>15.35</v>
      </c>
      <c r="I723" s="140">
        <f>IFERROR(VLOOKUP($A723,[6]P.O.!$A:$J,9,),"")</f>
        <v>107.45</v>
      </c>
      <c r="J723" s="159">
        <f t="shared" si="74"/>
        <v>5.0560744775157572E-5</v>
      </c>
      <c r="K723" s="145">
        <f>IFERROR(VLOOKUP($A723,[6]P.O.!$A:$J,10,),"")</f>
        <v>0.25</v>
      </c>
      <c r="L723" s="265"/>
    </row>
    <row r="724" spans="1:12" s="232" customFormat="1" ht="33">
      <c r="A724" s="76" t="s">
        <v>616</v>
      </c>
      <c r="B724" s="77">
        <f>IFERROR(VLOOKUP($A724,[6]P.O.!$A:$J,2,),"")</f>
        <v>89801</v>
      </c>
      <c r="C724" s="77" t="str">
        <f>IFERROR(VLOOKUP($A724,[6]P.O.!$A:$J,3,),"")</f>
        <v>SINAPI SERVIÇO</v>
      </c>
      <c r="D724" s="78" t="str">
        <f>IFERROR(VLOOKUP($A724,[6]P.O.!$A:$J,4,),"")</f>
        <v>JOELHO 90 GRAUS, PVC, SERIE NORMAL, ESGOTO PREDIAL, DN 50 MM, JUNTA ELÁSTICA, FORNECIDO E INSTALADO EM PRUMADA DE ESGOTO SANITÁRIO OU VENTILAÇÃO. AF_12/2014</v>
      </c>
      <c r="E724" s="91" t="str">
        <f>IFERROR(VLOOKUP($A724,[6]P.O.!$A:$J,5,),"")</f>
        <v>UN</v>
      </c>
      <c r="F724" s="139">
        <f>IFERROR(VLOOKUP($A724,[6]P.O.!$A:$J,6,),"")</f>
        <v>14</v>
      </c>
      <c r="G724" s="140">
        <f>IFERROR(VLOOKUP($A724,[6]P.O.!$A:$J,7,),"")</f>
        <v>4.37</v>
      </c>
      <c r="H724" s="140">
        <f>IFERROR(VLOOKUP($A724,[6]P.O.!$A:$J,8,),"")</f>
        <v>5.46</v>
      </c>
      <c r="I724" s="140">
        <f>IFERROR(VLOOKUP($A724,[6]P.O.!$A:$J,9,),"")</f>
        <v>76.44</v>
      </c>
      <c r="J724" s="159">
        <f t="shared" si="74"/>
        <v>3.5968946771643037E-5</v>
      </c>
      <c r="K724" s="145">
        <f>IFERROR(VLOOKUP($A724,[6]P.O.!$A:$J,10,),"")</f>
        <v>0.25</v>
      </c>
      <c r="L724" s="265"/>
    </row>
    <row r="725" spans="1:12" s="232" customFormat="1" ht="49.5">
      <c r="A725" s="76" t="s">
        <v>617</v>
      </c>
      <c r="B725" s="77">
        <f>IFERROR(VLOOKUP($A725,[6]P.O.!$A:$J,2,),"")</f>
        <v>89724</v>
      </c>
      <c r="C725" s="77" t="str">
        <f>IFERROR(VLOOKUP($A725,[6]P.O.!$A:$J,3,),"")</f>
        <v>SINAPI SERVIÇO</v>
      </c>
      <c r="D725" s="78" t="str">
        <f>IFERROR(VLOOKUP($A725,[6]P.O.!$A:$J,4,),"")</f>
        <v>JOELHO 90 GRAUS, PVC, SERIE NORMAL, ESGOTO PREDIAL, DN 40 MM, JUNTA SOLDÁVEL, FORNECIDO E INSTALADO EM RAMAL DE DESCARGA OU RAMAL DE ESGOTOSANITÁRIO. AF_12/2014_P</v>
      </c>
      <c r="E725" s="91" t="str">
        <f>IFERROR(VLOOKUP($A725,[6]P.O.!$A:$J,5,),"")</f>
        <v>UN</v>
      </c>
      <c r="F725" s="139">
        <f>IFERROR(VLOOKUP($A725,[6]P.O.!$A:$J,6,),"")</f>
        <v>7</v>
      </c>
      <c r="G725" s="140">
        <f>IFERROR(VLOOKUP($A725,[6]P.O.!$A:$J,7,),"")</f>
        <v>4.99</v>
      </c>
      <c r="H725" s="140">
        <f>IFERROR(VLOOKUP($A725,[6]P.O.!$A:$J,8,),"")</f>
        <v>6.24</v>
      </c>
      <c r="I725" s="140">
        <f>IFERROR(VLOOKUP($A725,[6]P.O.!$A:$J,9,),"")</f>
        <v>43.68</v>
      </c>
      <c r="J725" s="159">
        <f t="shared" si="74"/>
        <v>2.0553683869510308E-5</v>
      </c>
      <c r="K725" s="145">
        <f>IFERROR(VLOOKUP($A725,[6]P.O.!$A:$J,10,),"")</f>
        <v>0.25</v>
      </c>
      <c r="L725" s="265"/>
    </row>
    <row r="726" spans="1:12" s="232" customFormat="1" ht="33">
      <c r="A726" s="76" t="s">
        <v>618</v>
      </c>
      <c r="B726" s="77" t="str">
        <f>IFERROR(VLOOKUP($A726,[6]P.O.!$A:$J,2,),"")</f>
        <v>COMPS27035</v>
      </c>
      <c r="C726" s="77" t="str">
        <f>IFERROR(VLOOKUP($A726,[6]P.O.!$A:$J,3,),"")</f>
        <v>COMPOSIÇÃO</v>
      </c>
      <c r="D726" s="78" t="str">
        <f>IFERROR(VLOOKUP($A726,[6]P.O.!$A:$J,4,),"")</f>
        <v>JOELHO PVC 90° ESGOTO COM ANEL LABIAL - 40MM X 38MM - BRANCO - FORNECIMENTO E INSTALAÇÃO</v>
      </c>
      <c r="E726" s="91" t="str">
        <f>IFERROR(VLOOKUP($A726,[6]P.O.!$A:$J,5,),"")</f>
        <v>UNID.</v>
      </c>
      <c r="F726" s="139">
        <f>IFERROR(VLOOKUP($A726,[6]P.O.!$A:$J,6,),"")</f>
        <v>7</v>
      </c>
      <c r="G726" s="140">
        <f>IFERROR(VLOOKUP($A726,[6]P.O.!$A:$J,7,),"")</f>
        <v>10.25</v>
      </c>
      <c r="H726" s="140">
        <f>IFERROR(VLOOKUP($A726,[6]P.O.!$A:$J,8,),"")</f>
        <v>12.81</v>
      </c>
      <c r="I726" s="140">
        <f>IFERROR(VLOOKUP($A726,[6]P.O.!$A:$J,9,),"")</f>
        <v>89.67</v>
      </c>
      <c r="J726" s="159">
        <f t="shared" si="74"/>
        <v>4.2194341405196644E-5</v>
      </c>
      <c r="K726" s="145">
        <f>IFERROR(VLOOKUP($A726,[6]P.O.!$A:$J,10,),"")</f>
        <v>0.25</v>
      </c>
      <c r="L726" s="265"/>
    </row>
    <row r="727" spans="1:12" s="232" customFormat="1" ht="33">
      <c r="A727" s="76" t="s">
        <v>619</v>
      </c>
      <c r="B727" s="77" t="str">
        <f>IFERROR(VLOOKUP($A727,[6]P.O.!$A:$J,2,),"")</f>
        <v>COMPS27046</v>
      </c>
      <c r="C727" s="77" t="str">
        <f>IFERROR(VLOOKUP($A727,[6]P.O.!$A:$J,3,),"")</f>
        <v>COMPOSIÇÃO</v>
      </c>
      <c r="D727" s="78" t="str">
        <f>IFERROR(VLOOKUP($A727,[6]P.O.!$A:$J,4,),"")</f>
        <v>JUNÇÃO SIMPLES, PVC, SERIE NORMAL, ESGOTO PREDIAL, DN 100 X 50 MM, JUNTA ELÁSTICA, FORNECIDO E INSTALADO EM PRUMADA DE ESGOTO SANITÁRIO OUVENTILAÇÃO. AF_12/2014</v>
      </c>
      <c r="E727" s="91" t="str">
        <f>IFERROR(VLOOKUP($A727,[6]P.O.!$A:$J,5,),"")</f>
        <v>UN</v>
      </c>
      <c r="F727" s="139">
        <f>IFERROR(VLOOKUP($A727,[6]P.O.!$A:$J,6,),"")</f>
        <v>9</v>
      </c>
      <c r="G727" s="140">
        <f>IFERROR(VLOOKUP($A727,[6]P.O.!$A:$J,7,),"")</f>
        <v>18.369999999999997</v>
      </c>
      <c r="H727" s="140">
        <f>IFERROR(VLOOKUP($A727,[6]P.O.!$A:$J,8,),"")</f>
        <v>22.96</v>
      </c>
      <c r="I727" s="140">
        <f>IFERROR(VLOOKUP($A727,[6]P.O.!$A:$J,9,),"")</f>
        <v>206.64</v>
      </c>
      <c r="J727" s="159">
        <f t="shared" si="74"/>
        <v>9.7234735228837215E-5</v>
      </c>
      <c r="K727" s="145">
        <f>IFERROR(VLOOKUP($A727,[6]P.O.!$A:$J,10,),"")</f>
        <v>0.25</v>
      </c>
      <c r="L727" s="265"/>
    </row>
    <row r="728" spans="1:12" s="232" customFormat="1" ht="33">
      <c r="A728" s="76" t="s">
        <v>620</v>
      </c>
      <c r="B728" s="77">
        <f>IFERROR(VLOOKUP($A728,[6]P.O.!$A:$J,2,),"")</f>
        <v>89834</v>
      </c>
      <c r="C728" s="77" t="str">
        <f>IFERROR(VLOOKUP($A728,[6]P.O.!$A:$J,3,),"")</f>
        <v>SINAPI SERVIÇO</v>
      </c>
      <c r="D728" s="78" t="str">
        <f>IFERROR(VLOOKUP($A728,[6]P.O.!$A:$J,4,),"")</f>
        <v>JUNÇÃO SIMPLES, PVC, SERIE NORMAL, ESGOTO PREDIAL, DN 100 X 100 MM, JUNTA ELÁSTICA, FORNECIDO E INSTALADO EM PRUMADA DE ESGOTO SANITÁRIO OUVENTILAÇÃO. AF_12/2014</v>
      </c>
      <c r="E728" s="91" t="str">
        <f>IFERROR(VLOOKUP($A728,[6]P.O.!$A:$J,5,),"")</f>
        <v>UN</v>
      </c>
      <c r="F728" s="139">
        <f>IFERROR(VLOOKUP($A728,[6]P.O.!$A:$J,6,),"")</f>
        <v>2</v>
      </c>
      <c r="G728" s="140">
        <f>IFERROR(VLOOKUP($A728,[6]P.O.!$A:$J,7,),"")</f>
        <v>25.35</v>
      </c>
      <c r="H728" s="140">
        <f>IFERROR(VLOOKUP($A728,[6]P.O.!$A:$J,8,),"")</f>
        <v>31.69</v>
      </c>
      <c r="I728" s="140">
        <f>IFERROR(VLOOKUP($A728,[6]P.O.!$A:$J,9,),"")</f>
        <v>63.38</v>
      </c>
      <c r="J728" s="159">
        <f t="shared" si="74"/>
        <v>2.9823545871098061E-5</v>
      </c>
      <c r="K728" s="145">
        <f>IFERROR(VLOOKUP($A728,[6]P.O.!$A:$J,10,),"")</f>
        <v>0.25</v>
      </c>
      <c r="L728" s="265"/>
    </row>
    <row r="729" spans="1:12" s="232" customFormat="1" ht="33">
      <c r="A729" s="76" t="s">
        <v>621</v>
      </c>
      <c r="B729" s="77">
        <f>IFERROR(VLOOKUP($A729,[6]P.O.!$A:$J,2,),"")</f>
        <v>89827</v>
      </c>
      <c r="C729" s="77" t="str">
        <f>IFERROR(VLOOKUP($A729,[6]P.O.!$A:$J,3,),"")</f>
        <v>SINAPI SERVIÇO</v>
      </c>
      <c r="D729" s="78" t="str">
        <f>IFERROR(VLOOKUP($A729,[6]P.O.!$A:$J,4,),"")</f>
        <v>JUNÇÃO SIMPLES, PVC, SERIE NORMAL, ESGOTO PREDIAL, DN 50 X 50 MM, JUNTA ELÁSTICA, FORNECIDO E INSTALADO EM PRUMADA DE ESGOTO SANITÁRIO OU VENTILAÇÃO. AF_12/2014</v>
      </c>
      <c r="E729" s="91" t="str">
        <f>IFERROR(VLOOKUP($A729,[6]P.O.!$A:$J,5,),"")</f>
        <v>UN</v>
      </c>
      <c r="F729" s="139">
        <f>IFERROR(VLOOKUP($A729,[6]P.O.!$A:$J,6,),"")</f>
        <v>1</v>
      </c>
      <c r="G729" s="140">
        <f>IFERROR(VLOOKUP($A729,[6]P.O.!$A:$J,7,),"")</f>
        <v>10.34</v>
      </c>
      <c r="H729" s="140">
        <f>IFERROR(VLOOKUP($A729,[6]P.O.!$A:$J,8,),"")</f>
        <v>12.93</v>
      </c>
      <c r="I729" s="140">
        <f>IFERROR(VLOOKUP($A729,[6]P.O.!$A:$J,9,),"")</f>
        <v>12.93</v>
      </c>
      <c r="J729" s="159">
        <f t="shared" si="74"/>
        <v>6.0842292223619114E-6</v>
      </c>
      <c r="K729" s="145">
        <f>IFERROR(VLOOKUP($A729,[6]P.O.!$A:$J,10,),"")</f>
        <v>0.25</v>
      </c>
      <c r="L729" s="265"/>
    </row>
    <row r="730" spans="1:12" s="232" customFormat="1" ht="33">
      <c r="A730" s="76" t="s">
        <v>622</v>
      </c>
      <c r="B730" s="77">
        <f>IFERROR(VLOOKUP($A730,[6]P.O.!$A:$J,2,),"")</f>
        <v>89821</v>
      </c>
      <c r="C730" s="77" t="str">
        <f>IFERROR(VLOOKUP($A730,[6]P.O.!$A:$J,3,),"")</f>
        <v>SINAPI SERVIÇO</v>
      </c>
      <c r="D730" s="78" t="str">
        <f>IFERROR(VLOOKUP($A730,[6]P.O.!$A:$J,4,),"")</f>
        <v>LUVA SIMPLES, PVC, SERIE NORMAL, ESGOTO PREDIAL, DN 100 MM, JUNTA ELÁSTICA, FORNECIDO E INSTALADO EM PRUMADA DE ESGOTO SANITÁRIO OU VENTILAÇÃO. AF_12/2014</v>
      </c>
      <c r="E730" s="91" t="str">
        <f>IFERROR(VLOOKUP($A730,[6]P.O.!$A:$J,5,),"")</f>
        <v>UN</v>
      </c>
      <c r="F730" s="139">
        <f>IFERROR(VLOOKUP($A730,[6]P.O.!$A:$J,6,),"")</f>
        <v>17</v>
      </c>
      <c r="G730" s="140">
        <f>IFERROR(VLOOKUP($A730,[6]P.O.!$A:$J,7,),"")</f>
        <v>8.33</v>
      </c>
      <c r="H730" s="140">
        <f>IFERROR(VLOOKUP($A730,[6]P.O.!$A:$J,8,),"")</f>
        <v>10.41</v>
      </c>
      <c r="I730" s="140">
        <f>IFERROR(VLOOKUP($A730,[6]P.O.!$A:$J,9,),"")</f>
        <v>176.97</v>
      </c>
      <c r="J730" s="159">
        <f t="shared" si="74"/>
        <v>8.3273476061978914E-5</v>
      </c>
      <c r="K730" s="145">
        <f>IFERROR(VLOOKUP($A730,[6]P.O.!$A:$J,10,),"")</f>
        <v>0.25</v>
      </c>
      <c r="L730" s="265"/>
    </row>
    <row r="731" spans="1:12" s="232" customFormat="1" ht="33">
      <c r="A731" s="76" t="s">
        <v>623</v>
      </c>
      <c r="B731" s="77">
        <f>IFERROR(VLOOKUP($A731,[6]P.O.!$A:$J,2,),"")</f>
        <v>89817</v>
      </c>
      <c r="C731" s="77" t="str">
        <f>IFERROR(VLOOKUP($A731,[6]P.O.!$A:$J,3,),"")</f>
        <v>SINAPI SERVIÇO</v>
      </c>
      <c r="D731" s="78" t="str">
        <f>IFERROR(VLOOKUP($A731,[6]P.O.!$A:$J,4,),"")</f>
        <v>LUVA SIMPLES, PVC, SERIE NORMAL, ESGOTO PREDIAL, DN 75 MM, JUNTA ELÁSTICA, FORNECIDO E INSTALADO EM PRUMADA DE ESGOTO SANITÁRIO OU VENTILAÇÃO. AF_12/2014</v>
      </c>
      <c r="E731" s="91" t="str">
        <f>IFERROR(VLOOKUP($A731,[6]P.O.!$A:$J,5,),"")</f>
        <v>UN</v>
      </c>
      <c r="F731" s="139">
        <f>IFERROR(VLOOKUP($A731,[6]P.O.!$A:$J,6,),"")</f>
        <v>6</v>
      </c>
      <c r="G731" s="140">
        <f>IFERROR(VLOOKUP($A731,[6]P.O.!$A:$J,7,),"")</f>
        <v>6.5</v>
      </c>
      <c r="H731" s="140">
        <f>IFERROR(VLOOKUP($A731,[6]P.O.!$A:$J,8,),"")</f>
        <v>8.1300000000000008</v>
      </c>
      <c r="I731" s="140">
        <f>IFERROR(VLOOKUP($A731,[6]P.O.!$A:$J,9,),"")</f>
        <v>48.78</v>
      </c>
      <c r="J731" s="159">
        <f t="shared" si="74"/>
        <v>2.2953495859769066E-5</v>
      </c>
      <c r="K731" s="145">
        <f>IFERROR(VLOOKUP($A731,[6]P.O.!$A:$J,10,),"")</f>
        <v>0.25</v>
      </c>
      <c r="L731" s="265"/>
    </row>
    <row r="732" spans="1:12" s="232" customFormat="1" ht="33">
      <c r="A732" s="76" t="s">
        <v>624</v>
      </c>
      <c r="B732" s="77">
        <f>IFERROR(VLOOKUP($A732,[6]P.O.!$A:$J,2,),"")</f>
        <v>89813</v>
      </c>
      <c r="C732" s="77" t="str">
        <f>IFERROR(VLOOKUP($A732,[6]P.O.!$A:$J,3,),"")</f>
        <v>SINAPI SERVIÇO</v>
      </c>
      <c r="D732" s="78" t="str">
        <f>IFERROR(VLOOKUP($A732,[6]P.O.!$A:$J,4,),"")</f>
        <v>LUVA SIMPLES, PVC, SERIE NORMAL, ESGOTO PREDIAL, DN 50 MM, JUNTA ELÁSTICA, FORNECIDO E INSTALADO EM PRUMADA DE ESGOTO SANITÁRIO OU VENTILAÇÃO. AF_12/2014</v>
      </c>
      <c r="E732" s="91" t="str">
        <f>IFERROR(VLOOKUP($A732,[6]P.O.!$A:$J,5,),"")</f>
        <v>UN</v>
      </c>
      <c r="F732" s="139">
        <f>IFERROR(VLOOKUP($A732,[6]P.O.!$A:$J,6,),"")</f>
        <v>10</v>
      </c>
      <c r="G732" s="140">
        <f>IFERROR(VLOOKUP($A732,[6]P.O.!$A:$J,7,),"")</f>
        <v>3.89</v>
      </c>
      <c r="H732" s="140">
        <f>IFERROR(VLOOKUP($A732,[6]P.O.!$A:$J,8,),"")</f>
        <v>4.8600000000000003</v>
      </c>
      <c r="I732" s="140">
        <f>IFERROR(VLOOKUP($A732,[6]P.O.!$A:$J,9,),"")</f>
        <v>48.6</v>
      </c>
      <c r="J732" s="159">
        <f t="shared" si="74"/>
        <v>2.2868796613054051E-5</v>
      </c>
      <c r="K732" s="145">
        <f>IFERROR(VLOOKUP($A732,[6]P.O.!$A:$J,10,),"")</f>
        <v>0.25</v>
      </c>
      <c r="L732" s="265"/>
    </row>
    <row r="733" spans="1:12" s="232" customFormat="1" ht="33">
      <c r="A733" s="76" t="s">
        <v>625</v>
      </c>
      <c r="B733" s="77" t="str">
        <f>IFERROR(VLOOKUP($A733,[6]P.O.!$A:$J,2,),"")</f>
        <v>COMPS27045</v>
      </c>
      <c r="C733" s="77" t="str">
        <f>IFERROR(VLOOKUP($A733,[6]P.O.!$A:$J,3,),"")</f>
        <v>COMPOSIÇÃO</v>
      </c>
      <c r="D733" s="78" t="str">
        <f>IFERROR(VLOOKUP($A733,[6]P.O.!$A:$J,4,),"")</f>
        <v>TE, PVC, SERIE NORMAL, ESGOTO PREDIAL, DN 75 X 50 MM, JUNTA ELÁSTICA, FORNECIDO E INSTALADO EM PRUMADA DE ESGOTO SANITÁRIO OU VENTILAÇÃO. AF_12/2014</v>
      </c>
      <c r="E733" s="91" t="str">
        <f>IFERROR(VLOOKUP($A733,[6]P.O.!$A:$J,5,),"")</f>
        <v>UN</v>
      </c>
      <c r="F733" s="139">
        <f>IFERROR(VLOOKUP($A733,[6]P.O.!$A:$J,6,),"")</f>
        <v>3</v>
      </c>
      <c r="G733" s="140">
        <f>IFERROR(VLOOKUP($A733,[6]P.O.!$A:$J,7,),"")</f>
        <v>18.099999999999998</v>
      </c>
      <c r="H733" s="140">
        <f>IFERROR(VLOOKUP($A733,[6]P.O.!$A:$J,8,),"")</f>
        <v>22.63</v>
      </c>
      <c r="I733" s="140">
        <f>IFERROR(VLOOKUP($A733,[6]P.O.!$A:$J,9,),"")</f>
        <v>67.89</v>
      </c>
      <c r="J733" s="159">
        <f t="shared" si="74"/>
        <v>3.1945732552679825E-5</v>
      </c>
      <c r="K733" s="145">
        <f>IFERROR(VLOOKUP($A733,[6]P.O.!$A:$J,10,),"")</f>
        <v>0.25</v>
      </c>
      <c r="L733" s="265"/>
    </row>
    <row r="734" spans="1:12" s="232" customFormat="1" ht="33">
      <c r="A734" s="76" t="s">
        <v>626</v>
      </c>
      <c r="B734" s="77">
        <f>IFERROR(VLOOKUP($A734,[6]P.O.!$A:$J,2,),"")</f>
        <v>89829</v>
      </c>
      <c r="C734" s="77" t="str">
        <f>IFERROR(VLOOKUP($A734,[6]P.O.!$A:$J,3,),"")</f>
        <v>SINAPI SERVIÇO</v>
      </c>
      <c r="D734" s="78" t="str">
        <f>IFERROR(VLOOKUP($A734,[6]P.O.!$A:$J,4,),"")</f>
        <v>TE, PVC, SERIE NORMAL, ESGOTO PREDIAL, DN 75 X 75 MM, JUNTA ELÁSTICA, FORNECIDO E INSTALADO EM PRUMADA DE ESGOTO SANITÁRIO OU VENTILAÇÃO. AF_12/2014</v>
      </c>
      <c r="E734" s="91" t="str">
        <f>IFERROR(VLOOKUP($A734,[6]P.O.!$A:$J,5,),"")</f>
        <v>UN</v>
      </c>
      <c r="F734" s="139">
        <f>IFERROR(VLOOKUP($A734,[6]P.O.!$A:$J,6,),"")</f>
        <v>3</v>
      </c>
      <c r="G734" s="140">
        <f>IFERROR(VLOOKUP($A734,[6]P.O.!$A:$J,7,),"")</f>
        <v>22.99</v>
      </c>
      <c r="H734" s="140">
        <f>IFERROR(VLOOKUP($A734,[6]P.O.!$A:$J,8,),"")</f>
        <v>28.74</v>
      </c>
      <c r="I734" s="140">
        <f>IFERROR(VLOOKUP($A734,[6]P.O.!$A:$J,9,),"")</f>
        <v>86.22</v>
      </c>
      <c r="J734" s="159">
        <f t="shared" si="74"/>
        <v>4.0570939176492184E-5</v>
      </c>
      <c r="K734" s="145">
        <f>IFERROR(VLOOKUP($A734,[6]P.O.!$A:$J,10,),"")</f>
        <v>0.25</v>
      </c>
      <c r="L734" s="265"/>
    </row>
    <row r="735" spans="1:12" s="232" customFormat="1" ht="33">
      <c r="A735" s="76" t="s">
        <v>627</v>
      </c>
      <c r="B735" s="77">
        <f>IFERROR(VLOOKUP($A735,[6]P.O.!$A:$J,2,),"")</f>
        <v>89825</v>
      </c>
      <c r="C735" s="77" t="str">
        <f>IFERROR(VLOOKUP($A735,[6]P.O.!$A:$J,3,),"")</f>
        <v>SINAPI SERVIÇO</v>
      </c>
      <c r="D735" s="78" t="str">
        <f>IFERROR(VLOOKUP($A735,[6]P.O.!$A:$J,4,),"")</f>
        <v>TE, PVC, SERIE NORMAL, ESGOTO PREDIAL, DN 50 X 50 MM, JUNTA ELÁSTICA,    FORNECIDO E INSTALADO EM PRUMADA DE ESGOTO SANITÁRIO OU VENTILAÇÃO. AF_12/2014</v>
      </c>
      <c r="E735" s="91" t="str">
        <f>IFERROR(VLOOKUP($A735,[6]P.O.!$A:$J,5,),"")</f>
        <v>UN</v>
      </c>
      <c r="F735" s="139">
        <f>IFERROR(VLOOKUP($A735,[6]P.O.!$A:$J,6,),"")</f>
        <v>10</v>
      </c>
      <c r="G735" s="140">
        <f>IFERROR(VLOOKUP($A735,[6]P.O.!$A:$J,7,),"")</f>
        <v>10.52</v>
      </c>
      <c r="H735" s="140">
        <f>IFERROR(VLOOKUP($A735,[6]P.O.!$A:$J,8,),"")</f>
        <v>13.15</v>
      </c>
      <c r="I735" s="140">
        <f>IFERROR(VLOOKUP($A735,[6]P.O.!$A:$J,9,),"")</f>
        <v>131.5</v>
      </c>
      <c r="J735" s="159">
        <f t="shared" si="74"/>
        <v>6.1877505239024856E-5</v>
      </c>
      <c r="K735" s="145">
        <f>IFERROR(VLOOKUP($A735,[6]P.O.!$A:$J,10,),"")</f>
        <v>0.25</v>
      </c>
      <c r="L735" s="265"/>
    </row>
    <row r="736" spans="1:12" s="232" customFormat="1">
      <c r="A736" s="76"/>
      <c r="B736" s="77"/>
      <c r="C736" s="77"/>
      <c r="D736" s="78"/>
      <c r="E736" s="91"/>
      <c r="F736" s="139"/>
      <c r="G736" s="140"/>
      <c r="H736" s="140"/>
      <c r="I736" s="140"/>
      <c r="J736" s="159"/>
      <c r="K736" s="141"/>
    </row>
    <row r="737" spans="1:12" s="232" customFormat="1">
      <c r="A737" s="76"/>
      <c r="B737" s="77"/>
      <c r="C737" s="77"/>
      <c r="D737" s="78"/>
      <c r="E737" s="91"/>
      <c r="F737" s="139"/>
      <c r="G737" s="140"/>
      <c r="H737" s="140"/>
      <c r="I737" s="140"/>
      <c r="J737" s="159"/>
      <c r="K737" s="141"/>
    </row>
    <row r="738" spans="1:12" s="228" customFormat="1">
      <c r="A738" s="5" t="s">
        <v>171</v>
      </c>
      <c r="B738" s="24"/>
      <c r="C738" s="24"/>
      <c r="D738" s="31" t="s">
        <v>9</v>
      </c>
      <c r="E738" s="127"/>
      <c r="F738" s="128"/>
      <c r="G738" s="129"/>
      <c r="H738" s="129"/>
      <c r="I738" s="129">
        <f>SUM(I739:I746)</f>
        <v>12346.32</v>
      </c>
      <c r="J738" s="227">
        <f>IF(I738="","",I738/$E$777)</f>
        <v>5.8095777983473559E-3</v>
      </c>
      <c r="K738" s="130"/>
    </row>
    <row r="739" spans="1:12" s="251" customFormat="1">
      <c r="A739" s="111"/>
      <c r="B739" s="112"/>
      <c r="C739" s="112"/>
      <c r="D739" s="113"/>
      <c r="E739" s="182"/>
      <c r="F739" s="183"/>
      <c r="G739" s="184"/>
      <c r="H739" s="184"/>
      <c r="I739" s="184"/>
      <c r="J739" s="253"/>
      <c r="K739" s="185"/>
    </row>
    <row r="740" spans="1:12" s="232" customFormat="1" ht="66">
      <c r="A740" s="76" t="s">
        <v>172</v>
      </c>
      <c r="B740" s="77" t="str">
        <f>IFERROR(VLOOKUP($A740,[6]P.O.!$A:$J,2,),"")</f>
        <v>COMPS27041</v>
      </c>
      <c r="C740" s="77" t="str">
        <f>IFERROR(VLOOKUP($A740,[6]P.O.!$A:$J,3,),"")</f>
        <v>COMPOSIÇÃO</v>
      </c>
      <c r="D740" s="78" t="str">
        <f>IFERROR(VLOOKUP($A740,[6]P.O.!$A:$J,4,),"")</f>
        <v>FORNECIMENTO E INSTALAÇÃO DE BLOCO AUTÔNOMO DE ILUMINAÇÃO DE EMERGÊNCIA, FAB. PIAL LEGRAND, COMPOSTO POR:  1 BLOCO AUTÔNOMO PARA 1 LÂMPADA COMPACTA 11W COM AUTONOMIA PARA 1HORA, 680 LUMENS REF. 615 25; 1 DIFUSOR PRISMÁTICO BI-DIRECIONAL REF. 615 78; E 1 LÂMPADA FLUORESCENTE COMPACTA 11W.</v>
      </c>
      <c r="E740" s="91" t="str">
        <f>IFERROR(VLOOKUP($A740,[6]P.O.!$A:$J,5,),"")</f>
        <v>CJ</v>
      </c>
      <c r="F740" s="139">
        <f>IFERROR(VLOOKUP($A740,[6]P.O.!$A:$J,6,),"")</f>
        <v>5</v>
      </c>
      <c r="G740" s="140">
        <f>IFERROR(VLOOKUP($A740,[6]P.O.!$A:$J,7,),"")</f>
        <v>708.03</v>
      </c>
      <c r="H740" s="140">
        <f>IFERROR(VLOOKUP($A740,[6]P.O.!$A:$J,8,),"")</f>
        <v>885.04</v>
      </c>
      <c r="I740" s="140">
        <f>IFERROR(VLOOKUP($A740,[6]P.O.!$A:$J,9,),"")</f>
        <v>4425.2</v>
      </c>
      <c r="J740" s="159">
        <f t="shared" ref="J740:J744" si="75">IF(I740="","",I740/$E$777)</f>
        <v>2.08228392535158E-3</v>
      </c>
      <c r="K740" s="145">
        <f>IFERROR(VLOOKUP($A740,[6]P.O.!$A:$J,10,),"")</f>
        <v>0.25</v>
      </c>
      <c r="L740" s="265"/>
    </row>
    <row r="741" spans="1:12" s="232" customFormat="1" ht="49.5">
      <c r="A741" s="76" t="s">
        <v>173</v>
      </c>
      <c r="B741" s="77" t="str">
        <f>IFERROR(VLOOKUP($A741,[6]P.O.!$A:$J,2,),"")</f>
        <v>COMPS27038</v>
      </c>
      <c r="C741" s="77" t="str">
        <f>IFERROR(VLOOKUP($A741,[6]P.O.!$A:$J,3,),"")</f>
        <v>COMPOSIÇÃO</v>
      </c>
      <c r="D741" s="78" t="str">
        <f>IFERROR(VLOOKUP($A741,[6]P.O.!$A:$J,4,),"")</f>
        <v>EXTINTOR PORTÁTIL DE PÓ QUÍMICO DE 4KG, INCLUSIVE PLACA DE IDENTIFICAÇÃO, FITA AUTODESIVA PARA SINALIZAÇÃO HORIZONTAL E SUPORTE DE PISO - FORNECIMENTO E INSTALAÇÃO</v>
      </c>
      <c r="E741" s="91" t="str">
        <f>IFERROR(VLOOKUP($A741,[6]P.O.!$A:$J,5,),"")</f>
        <v>UNID.</v>
      </c>
      <c r="F741" s="139">
        <f>IFERROR(VLOOKUP($A741,[6]P.O.!$A:$J,6,),"")</f>
        <v>5</v>
      </c>
      <c r="G741" s="140">
        <f>IFERROR(VLOOKUP($A741,[6]P.O.!$A:$J,7,),"")</f>
        <v>151.85</v>
      </c>
      <c r="H741" s="140">
        <f>IFERROR(VLOOKUP($A741,[6]P.O.!$A:$J,8,),"")</f>
        <v>189.81</v>
      </c>
      <c r="I741" s="140">
        <f>IFERROR(VLOOKUP($A741,[6]P.O.!$A:$J,9,),"")</f>
        <v>949.05</v>
      </c>
      <c r="J741" s="159">
        <f t="shared" si="75"/>
        <v>4.4657677830491657E-4</v>
      </c>
      <c r="K741" s="145">
        <f>IFERROR(VLOOKUP($A741,[6]P.O.!$A:$J,10,),"")</f>
        <v>0.25</v>
      </c>
      <c r="L741" s="265"/>
    </row>
    <row r="742" spans="1:12" s="232" customFormat="1" ht="49.5">
      <c r="A742" s="76" t="s">
        <v>628</v>
      </c>
      <c r="B742" s="77" t="str">
        <f>IFERROR(VLOOKUP($A742,[6]P.O.!$A:$J,2,),"")</f>
        <v>COMPS27039</v>
      </c>
      <c r="C742" s="77" t="str">
        <f>IFERROR(VLOOKUP($A742,[6]P.O.!$A:$J,3,),"")</f>
        <v>COMPOSIÇÃO</v>
      </c>
      <c r="D742" s="78" t="str">
        <f>IFERROR(VLOOKUP($A742,[6]P.O.!$A:$J,4,),"")</f>
        <v>EXTINTOR PORTÁTIL DE ÁGUA PRESSURIZADA DE 10 L, INCLUSIVE PLACA DE IDENTIFICAÇÃO, FITA AUTODESIVA PARA SINALIZAÇÃO HORIZONTAL E SUPORTE DE PISO - FORNECIMENTO E INSTALAÇÃO</v>
      </c>
      <c r="E742" s="91" t="str">
        <f>IFERROR(VLOOKUP($A742,[6]P.O.!$A:$J,5,),"")</f>
        <v>UNID.</v>
      </c>
      <c r="F742" s="139">
        <f>IFERROR(VLOOKUP($A742,[6]P.O.!$A:$J,6,),"")</f>
        <v>1</v>
      </c>
      <c r="G742" s="140">
        <f>IFERROR(VLOOKUP($A742,[6]P.O.!$A:$J,7,),"")</f>
        <v>169.12</v>
      </c>
      <c r="H742" s="140">
        <f>IFERROR(VLOOKUP($A742,[6]P.O.!$A:$J,8,),"")</f>
        <v>211.4</v>
      </c>
      <c r="I742" s="140">
        <f>IFERROR(VLOOKUP($A742,[6]P.O.!$A:$J,9,),"")</f>
        <v>211.4</v>
      </c>
      <c r="J742" s="159">
        <f t="shared" si="75"/>
        <v>9.9474559753078731E-5</v>
      </c>
      <c r="K742" s="145">
        <f>IFERROR(VLOOKUP($A742,[6]P.O.!$A:$J,10,),"")</f>
        <v>0.25</v>
      </c>
      <c r="L742" s="265"/>
    </row>
    <row r="743" spans="1:12" s="232" customFormat="1" ht="49.5">
      <c r="A743" s="76" t="s">
        <v>629</v>
      </c>
      <c r="B743" s="77" t="str">
        <f>IFERROR(VLOOKUP($A743,[6]P.O.!$A:$J,2,),"")</f>
        <v>COMPS27040</v>
      </c>
      <c r="C743" s="77" t="str">
        <f>IFERROR(VLOOKUP($A743,[6]P.O.!$A:$J,3,),"")</f>
        <v>COMPOSIÇÃO</v>
      </c>
      <c r="D743" s="78" t="str">
        <f>IFERROR(VLOOKUP($A743,[6]P.O.!$A:$J,4,),"")</f>
        <v>EXTINTOR PORTÁTIL DE GÁS CARBÔNICO DE 6 KG, INCLUSIVE PLACA DE IDENTIFICAÇÃO, FITA AUTODESIVA PARA SINALIZAÇÃO HORIZONTAL E SUPORTE DE PISO - FORNECIMENTO E INSTALAÇÃO</v>
      </c>
      <c r="E743" s="91" t="str">
        <f>IFERROR(VLOOKUP($A743,[6]P.O.!$A:$J,5,),"")</f>
        <v>UNID.</v>
      </c>
      <c r="F743" s="139">
        <f>IFERROR(VLOOKUP($A743,[6]P.O.!$A:$J,6,),"")</f>
        <v>1</v>
      </c>
      <c r="G743" s="140">
        <f>IFERROR(VLOOKUP($A743,[6]P.O.!$A:$J,7,),"")</f>
        <v>452.31</v>
      </c>
      <c r="H743" s="140">
        <f>IFERROR(VLOOKUP($A743,[6]P.O.!$A:$J,8,),"")</f>
        <v>565.39</v>
      </c>
      <c r="I743" s="140">
        <f>IFERROR(VLOOKUP($A743,[6]P.O.!$A:$J,9,),"")</f>
        <v>565.39</v>
      </c>
      <c r="J743" s="159">
        <f t="shared" si="75"/>
        <v>2.6604503944556852E-4</v>
      </c>
      <c r="K743" s="145">
        <f>IFERROR(VLOOKUP($A743,[6]P.O.!$A:$J,10,),"")</f>
        <v>0.25</v>
      </c>
      <c r="L743" s="265"/>
    </row>
    <row r="744" spans="1:12" s="232" customFormat="1" ht="82.5">
      <c r="A744" s="76" t="s">
        <v>630</v>
      </c>
      <c r="B744" s="77" t="str">
        <f>IFERROR(VLOOKUP($A744,[6]P.O.!$A:$J,2,),"")</f>
        <v>COMPS27037</v>
      </c>
      <c r="C744" s="77" t="str">
        <f>IFERROR(VLOOKUP($A744,[6]P.O.!$A:$J,3,),"")</f>
        <v>COMPOSIÇÃO</v>
      </c>
      <c r="D744" s="78" t="str">
        <f>IFERROR(VLOOKUP($A744,[6]P.O.!$A:$J,4,),"")</f>
        <v>FORNECIMENTO E INSTALAÇÃO DE BLOCO AUTÔNOMO DE ILUMINAÇÃO DE EMERGÊNCIA, FAB. PIAL LEGRAND, COMPOSTO POR:  1 BLOCO AUTÔNOMO PARA 1 LÂMPADA COMPACTA 11W COM AUTONOMIA PARA 1HORA, 680 LUMENS REF. 615 25; 1 DIFUSOR PRISMÁTICO BI-DIRECIONAL REF. 615 78; 1 LÂMPADA FLUORESCENTE COMPACTA 11W; E 2 ETIQUETAS DE SINALIZAÇÃO AUTO-ADESIVAS COM INDICAÇÃO “SAÍDA (SÍMBOLO)” REF. 609 95.</v>
      </c>
      <c r="E744" s="91" t="str">
        <f>IFERROR(VLOOKUP($A744,[6]P.O.!$A:$J,5,),"")</f>
        <v>CJ</v>
      </c>
      <c r="F744" s="139">
        <f>IFERROR(VLOOKUP($A744,[6]P.O.!$A:$J,6,),"")</f>
        <v>7</v>
      </c>
      <c r="G744" s="140">
        <f>IFERROR(VLOOKUP($A744,[6]P.O.!$A:$J,7,),"")</f>
        <v>708.03</v>
      </c>
      <c r="H744" s="140">
        <f>IFERROR(VLOOKUP($A744,[6]P.O.!$A:$J,8,),"")</f>
        <v>885.04</v>
      </c>
      <c r="I744" s="140">
        <f>IFERROR(VLOOKUP($A744,[6]P.O.!$A:$J,9,),"")</f>
        <v>6195.28</v>
      </c>
      <c r="J744" s="159">
        <f t="shared" si="75"/>
        <v>2.9151974954922119E-3</v>
      </c>
      <c r="K744" s="145">
        <f>IFERROR(VLOOKUP($A744,[6]P.O.!$A:$J,10,),"")</f>
        <v>0.25</v>
      </c>
      <c r="L744" s="265"/>
    </row>
    <row r="745" spans="1:12" s="251" customFormat="1">
      <c r="A745" s="111"/>
      <c r="B745" s="112"/>
      <c r="C745" s="112"/>
      <c r="D745" s="113"/>
      <c r="E745" s="182"/>
      <c r="F745" s="183"/>
      <c r="G745" s="184"/>
      <c r="H745" s="184"/>
      <c r="I745" s="184"/>
      <c r="J745" s="253"/>
      <c r="K745" s="185"/>
    </row>
    <row r="746" spans="1:12" s="251" customFormat="1">
      <c r="A746" s="111"/>
      <c r="B746" s="112"/>
      <c r="C746" s="112"/>
      <c r="D746" s="113"/>
      <c r="E746" s="182"/>
      <c r="F746" s="183"/>
      <c r="G746" s="184"/>
      <c r="H746" s="184"/>
      <c r="I746" s="184"/>
      <c r="J746" s="253" t="str">
        <f t="shared" ref="J746:J764" si="76">IF(I746="","",I746/$E$777)</f>
        <v/>
      </c>
      <c r="K746" s="185"/>
    </row>
    <row r="747" spans="1:12" s="228" customFormat="1">
      <c r="A747" s="5" t="s">
        <v>174</v>
      </c>
      <c r="B747" s="24"/>
      <c r="C747" s="24"/>
      <c r="D747" s="31" t="s">
        <v>10</v>
      </c>
      <c r="E747" s="127"/>
      <c r="F747" s="128"/>
      <c r="G747" s="129"/>
      <c r="H747" s="129"/>
      <c r="I747" s="129">
        <f>SUM(I748:I763)</f>
        <v>49581.77</v>
      </c>
      <c r="J747" s="227">
        <f t="shared" si="76"/>
        <v>2.3330769832206274E-2</v>
      </c>
      <c r="K747" s="130"/>
    </row>
    <row r="748" spans="1:12" s="232" customFormat="1">
      <c r="A748" s="76"/>
      <c r="B748" s="77"/>
      <c r="C748" s="77"/>
      <c r="D748" s="78"/>
      <c r="E748" s="91"/>
      <c r="F748" s="139"/>
      <c r="G748" s="140"/>
      <c r="H748" s="140"/>
      <c r="I748" s="140"/>
      <c r="J748" s="159" t="str">
        <f t="shared" si="76"/>
        <v/>
      </c>
      <c r="K748" s="141"/>
    </row>
    <row r="749" spans="1:12" s="249" customFormat="1" ht="33">
      <c r="A749" s="79" t="s">
        <v>175</v>
      </c>
      <c r="B749" s="80" t="str">
        <f>IFERROR(VLOOKUP($A749,[7]P.O.!$A:$J,2,),"")</f>
        <v>COTSV45001</v>
      </c>
      <c r="C749" s="80" t="str">
        <f>IFERROR(VLOOKUP($A749,[7]P.O.!$A:$J,3,),"")</f>
        <v>COTAÇÃO</v>
      </c>
      <c r="D749" s="81" t="str">
        <f>IFERROR(VLOOKUP($A749,[7]P.O.!$A:$J,4,),"")</f>
        <v>FORNECIMENTO E INSTALAÇÃO DE SPLIT SYSTEM, TIPO CASSETE, CAPACIDADE 18.000 BTU/H, MODELO 42KWCB18C5 / 38KCD018515MC, MARCA CARRIER OU EQUIVALENTE TECNICO</v>
      </c>
      <c r="E749" s="142" t="str">
        <f>IFERROR(VLOOKUP($A749,[7]P.O.!$A:$J,5,),"")</f>
        <v>UND</v>
      </c>
      <c r="F749" s="143">
        <f>IFERROR(VLOOKUP($A749,[7]P.O.!$A:$J,6,),"")</f>
        <v>3</v>
      </c>
      <c r="G749" s="144">
        <f>IFERROR(VLOOKUP($A749,[7]P.O.!$A:$J,7,),"")</f>
        <v>3973.1918627788909</v>
      </c>
      <c r="H749" s="144">
        <f>IFERROR(VLOOKUP($A749,[7]P.O.!$A:$J,8,),"")</f>
        <v>4640.6899999999996</v>
      </c>
      <c r="I749" s="144">
        <f>IFERROR(VLOOKUP($A749,[7]P.O.!$A:$J,9,),"")</f>
        <v>13922.07</v>
      </c>
      <c r="J749" s="233">
        <f t="shared" si="76"/>
        <v>6.5510491206317162E-3</v>
      </c>
      <c r="K749" s="145">
        <f>IFERROR(VLOOKUP($A749,[7]P.O.!$A:$J,10,),"")</f>
        <v>0.16800000000000001</v>
      </c>
      <c r="L749" s="265"/>
    </row>
    <row r="750" spans="1:12" s="249" customFormat="1" ht="33">
      <c r="A750" s="79" t="s">
        <v>176</v>
      </c>
      <c r="B750" s="80" t="str">
        <f>IFERROR(VLOOKUP($A750,[7]P.O.!$A:$J,2,),"")</f>
        <v>COTSV45002</v>
      </c>
      <c r="C750" s="80" t="str">
        <f>IFERROR(VLOOKUP($A750,[7]P.O.!$A:$J,3,),"")</f>
        <v>COTAÇÃO</v>
      </c>
      <c r="D750" s="81" t="str">
        <f>IFERROR(VLOOKUP($A750,[7]P.O.!$A:$J,4,),"")</f>
        <v>FORNECIMENTO E INSTALAÇÃO DE SPLIT SYSTEM, TIPO CASSETE, CAPACIDADE 36.000 BTU/H, MODELO 42KWCB36C5 / 38CCD036515MC, MARCA CARRIER OU EQUIVALENTE TECNICO.</v>
      </c>
      <c r="E750" s="142" t="str">
        <f>IFERROR(VLOOKUP($A750,[7]P.O.!$A:$J,5,),"")</f>
        <v>UND</v>
      </c>
      <c r="F750" s="143">
        <f>IFERROR(VLOOKUP($A750,[7]P.O.!$A:$J,6,),"")</f>
        <v>2</v>
      </c>
      <c r="G750" s="144">
        <f>IFERROR(VLOOKUP($A750,[7]P.O.!$A:$J,7,),"")</f>
        <v>6738.4922795641996</v>
      </c>
      <c r="H750" s="144">
        <f>IFERROR(VLOOKUP($A750,[7]P.O.!$A:$J,8,),"")</f>
        <v>7870.56</v>
      </c>
      <c r="I750" s="144">
        <f>IFERROR(VLOOKUP($A750,[7]P.O.!$A:$J,9,),"")</f>
        <v>15741.12</v>
      </c>
      <c r="J750" s="233">
        <f t="shared" si="76"/>
        <v>7.4070055913925395E-3</v>
      </c>
      <c r="K750" s="145">
        <f>IFERROR(VLOOKUP($A750,[7]P.O.!$A:$J,10,),"")</f>
        <v>0.16800000000000001</v>
      </c>
      <c r="L750" s="265"/>
    </row>
    <row r="751" spans="1:12" s="249" customFormat="1" ht="33">
      <c r="A751" s="79" t="s">
        <v>177</v>
      </c>
      <c r="B751" s="80" t="str">
        <f>IFERROR(VLOOKUP($A751,[7]P.O.!$A:$J,2,),"")</f>
        <v>COTSV45003</v>
      </c>
      <c r="C751" s="80" t="str">
        <f>IFERROR(VLOOKUP($A751,[7]P.O.!$A:$J,3,),"")</f>
        <v>COTAÇÃO</v>
      </c>
      <c r="D751" s="81" t="str">
        <f>IFERROR(VLOOKUP($A751,[7]P.O.!$A:$J,4,),"")</f>
        <v>FORNECIMENTO E INSTALAÇÃO DE SPLIT SYSTEM, TIPO CASSETE, CAPACIDADE 18.000 BTU/H, MODELO 42KWCB48C5 / 38KCD048235MC, MARCA CARRIER OU EQUIVALENTE TECNICO</v>
      </c>
      <c r="E751" s="142" t="str">
        <f>IFERROR(VLOOKUP($A751,[7]P.O.!$A:$J,5,),"")</f>
        <v>UND</v>
      </c>
      <c r="F751" s="143">
        <f>IFERROR(VLOOKUP($A751,[7]P.O.!$A:$J,6,),"")</f>
        <v>1</v>
      </c>
      <c r="G751" s="144">
        <f>IFERROR(VLOOKUP($A751,[7]P.O.!$A:$J,7,),"")</f>
        <v>5718.9534497642608</v>
      </c>
      <c r="H751" s="144">
        <f>IFERROR(VLOOKUP($A751,[7]P.O.!$A:$J,8,),"")</f>
        <v>6679.74</v>
      </c>
      <c r="I751" s="144">
        <f>IFERROR(VLOOKUP($A751,[7]P.O.!$A:$J,9,),"")</f>
        <v>6679.74</v>
      </c>
      <c r="J751" s="233">
        <f t="shared" si="76"/>
        <v>3.1431608125119686E-3</v>
      </c>
      <c r="K751" s="145">
        <f>IFERROR(VLOOKUP($A751,[7]P.O.!$A:$J,10,),"")</f>
        <v>0.16800000000000001</v>
      </c>
      <c r="L751" s="265"/>
    </row>
    <row r="752" spans="1:12" s="249" customFormat="1" ht="33">
      <c r="A752" s="79" t="s">
        <v>631</v>
      </c>
      <c r="B752" s="80" t="str">
        <f>IFERROR(VLOOKUP($A752,[7]P.O.!$A:$J,2,),"")</f>
        <v>COTSV45004</v>
      </c>
      <c r="C752" s="80" t="str">
        <f>IFERROR(VLOOKUP($A752,[7]P.O.!$A:$J,3,),"")</f>
        <v>COTAÇÃO</v>
      </c>
      <c r="D752" s="81" t="str">
        <f>IFERROR(VLOOKUP($A752,[7]P.O.!$A:$J,4,),"")</f>
        <v>FORNECIMENTO E INSTALAÇÃO DE DUTO FLEXÍVEL PARA TOMADA DE AR EXTERIOR DIÂMETRO 100MM S/ ISOLAMENTO</v>
      </c>
      <c r="E752" s="142" t="str">
        <f>IFERROR(VLOOKUP($A752,[7]P.O.!$A:$J,5,),"")</f>
        <v>M</v>
      </c>
      <c r="F752" s="143">
        <f>IFERROR(VLOOKUP($A752,[7]P.O.!$A:$J,6,),"")</f>
        <v>12</v>
      </c>
      <c r="G752" s="144">
        <f>IFERROR(VLOOKUP($A752,[7]P.O.!$A:$J,7,),"")</f>
        <v>39.971180025234084</v>
      </c>
      <c r="H752" s="144">
        <f>IFERROR(VLOOKUP($A752,[7]P.O.!$A:$J,8,),"")</f>
        <v>46.69</v>
      </c>
      <c r="I752" s="144">
        <f>IFERROR(VLOOKUP($A752,[7]P.O.!$A:$J,9,),"")</f>
        <v>560.28</v>
      </c>
      <c r="J752" s="233">
        <f t="shared" si="76"/>
        <v>2.6364052194160337E-4</v>
      </c>
      <c r="K752" s="145">
        <f>IFERROR(VLOOKUP($A752,[7]P.O.!$A:$J,10,),"")</f>
        <v>0.16800000000000001</v>
      </c>
      <c r="L752" s="265"/>
    </row>
    <row r="753" spans="1:12" s="249" customFormat="1" ht="33">
      <c r="A753" s="79" t="s">
        <v>632</v>
      </c>
      <c r="B753" s="80" t="str">
        <f>IFERROR(VLOOKUP($A753,[7]P.O.!$A:$J,2,),"")</f>
        <v>COTSV45005</v>
      </c>
      <c r="C753" s="80" t="str">
        <f>IFERROR(VLOOKUP($A753,[7]P.O.!$A:$J,3,),"")</f>
        <v>COTAÇÃO</v>
      </c>
      <c r="D753" s="81" t="str">
        <f>IFERROR(VLOOKUP($A753,[7]P.O.!$A:$J,4,),"")</f>
        <v>FORNECIMENTO E INSTALAÇÃO DE TOMADA DE AR EXTERIOR, TAMANHO 147X147, FABRICAÇÃO TROX OU EQUIVALENTE TECNICO</v>
      </c>
      <c r="E753" s="142" t="str">
        <f>IFERROR(VLOOKUP($A753,[7]P.O.!$A:$J,5,),"")</f>
        <v>UND</v>
      </c>
      <c r="F753" s="143">
        <f>IFERROR(VLOOKUP($A753,[7]P.O.!$A:$J,6,),"")</f>
        <v>6</v>
      </c>
      <c r="G753" s="144">
        <f>IFERROR(VLOOKUP($A753,[7]P.O.!$A:$J,7,),"")</f>
        <v>199.30245301812872</v>
      </c>
      <c r="H753" s="144">
        <f>IFERROR(VLOOKUP($A753,[7]P.O.!$A:$J,8,),"")</f>
        <v>232.79</v>
      </c>
      <c r="I753" s="144">
        <f>IFERROR(VLOOKUP($A753,[7]P.O.!$A:$J,9,),"")</f>
        <v>1396.74</v>
      </c>
      <c r="J753" s="233">
        <f t="shared" si="76"/>
        <v>6.5723792142627813E-4</v>
      </c>
      <c r="K753" s="145">
        <f>IFERROR(VLOOKUP($A753,[7]P.O.!$A:$J,10,),"")</f>
        <v>0.16800000000000001</v>
      </c>
      <c r="L753" s="265"/>
    </row>
    <row r="754" spans="1:12" s="249" customFormat="1" ht="33">
      <c r="A754" s="79" t="s">
        <v>633</v>
      </c>
      <c r="B754" s="80" t="str">
        <f>IFERROR(VLOOKUP($A754,[7]P.O.!$A:$J,2,),"")</f>
        <v>COTSV45006</v>
      </c>
      <c r="C754" s="80" t="str">
        <f>IFERROR(VLOOKUP($A754,[7]P.O.!$A:$J,3,),"")</f>
        <v>COTAÇÃO</v>
      </c>
      <c r="D754" s="81" t="str">
        <f>IFERROR(VLOOKUP($A754,[7]P.O.!$A:$J,4,),"")</f>
        <v>FORNECIMENTO E INSTALAÇÃO DE VENTILADOR TIPO VENTOKIT, MULTIVAC OU EQUIVALENTE TECNICO</v>
      </c>
      <c r="E754" s="142" t="str">
        <f>IFERROR(VLOOKUP($A754,[7]P.O.!$A:$J,5,),"")</f>
        <v>UND</v>
      </c>
      <c r="F754" s="143">
        <f>IFERROR(VLOOKUP($A754,[7]P.O.!$A:$J,6,),"")</f>
        <v>6</v>
      </c>
      <c r="G754" s="144">
        <f>IFERROR(VLOOKUP($A754,[7]P.O.!$A:$J,7,),"")</f>
        <v>626.21515372866725</v>
      </c>
      <c r="H754" s="144">
        <f>IFERROR(VLOOKUP($A754,[7]P.O.!$A:$J,8,),"")</f>
        <v>731.42</v>
      </c>
      <c r="I754" s="144">
        <f>IFERROR(VLOOKUP($A754,[7]P.O.!$A:$J,9,),"")</f>
        <v>4388.5200000000004</v>
      </c>
      <c r="J754" s="233">
        <f t="shared" si="76"/>
        <v>2.0650241010765429E-3</v>
      </c>
      <c r="K754" s="145">
        <f>IFERROR(VLOOKUP($A754,[7]P.O.!$A:$J,10,),"")</f>
        <v>0.16800000000000001</v>
      </c>
      <c r="L754" s="265"/>
    </row>
    <row r="755" spans="1:12" s="249" customFormat="1">
      <c r="A755" s="79" t="s">
        <v>634</v>
      </c>
      <c r="B755" s="80" t="str">
        <f>IFERROR(VLOOKUP($A755,[7]P.O.!$A:$J,2,),"")</f>
        <v>COTSV45007</v>
      </c>
      <c r="C755" s="80" t="str">
        <f>IFERROR(VLOOKUP($A755,[7]P.O.!$A:$J,3,),"")</f>
        <v>COTAÇÃO</v>
      </c>
      <c r="D755" s="81" t="str">
        <f>IFERROR(VLOOKUP($A755,[7]P.O.!$A:$J,4,),"")</f>
        <v>FORNECIMENTO E INSTALAÇÃO DE TUBO COBRE 1 1/8", CLASSE A</v>
      </c>
      <c r="E755" s="142" t="str">
        <f>IFERROR(VLOOKUP($A755,[7]P.O.!$A:$J,5,),"")</f>
        <v>KG</v>
      </c>
      <c r="F755" s="143">
        <f>IFERROR(VLOOKUP($A755,[7]P.O.!$A:$J,6,),"")</f>
        <v>16</v>
      </c>
      <c r="G755" s="144">
        <f>IFERROR(VLOOKUP($A755,[7]P.O.!$A:$J,7,),"")</f>
        <v>70.718241583106447</v>
      </c>
      <c r="H755" s="144">
        <f>IFERROR(VLOOKUP($A755,[7]P.O.!$A:$J,8,),"")</f>
        <v>82.6</v>
      </c>
      <c r="I755" s="144">
        <f>IFERROR(VLOOKUP($A755,[7]P.O.!$A:$J,9,),"")</f>
        <v>1321.6</v>
      </c>
      <c r="J755" s="233">
        <f t="shared" si="76"/>
        <v>6.218806914364657E-4</v>
      </c>
      <c r="K755" s="145">
        <f>IFERROR(VLOOKUP($A755,[7]P.O.!$A:$J,10,),"")</f>
        <v>0.16800000000000001</v>
      </c>
      <c r="L755" s="265"/>
    </row>
    <row r="756" spans="1:12" s="249" customFormat="1">
      <c r="A756" s="79" t="s">
        <v>635</v>
      </c>
      <c r="B756" s="80" t="str">
        <f>IFERROR(VLOOKUP($A756,[7]P.O.!$A:$J,2,),"")</f>
        <v>COTSV45008</v>
      </c>
      <c r="C756" s="80" t="str">
        <f>IFERROR(VLOOKUP($A756,[7]P.O.!$A:$J,3,),"")</f>
        <v>COTAÇÃO</v>
      </c>
      <c r="D756" s="81" t="str">
        <f>IFERROR(VLOOKUP($A756,[7]P.O.!$A:$J,4,),"")</f>
        <v>FORNECIMENTO E INSTALAÇÃO DE TUBO COBRE 7/8", CLASSE A</v>
      </c>
      <c r="E756" s="142" t="str">
        <f>IFERROR(VLOOKUP($A756,[7]P.O.!$A:$J,5,),"")</f>
        <v>KG</v>
      </c>
      <c r="F756" s="143">
        <f>IFERROR(VLOOKUP($A756,[7]P.O.!$A:$J,6,),"")</f>
        <v>8</v>
      </c>
      <c r="G756" s="144">
        <f>IFERROR(VLOOKUP($A756,[7]P.O.!$A:$J,7,),"")</f>
        <v>70.718241583106447</v>
      </c>
      <c r="H756" s="144">
        <f>IFERROR(VLOOKUP($A756,[7]P.O.!$A:$J,8,),"")</f>
        <v>82.6</v>
      </c>
      <c r="I756" s="144">
        <f>IFERROR(VLOOKUP($A756,[7]P.O.!$A:$J,9,),"")</f>
        <v>660.8</v>
      </c>
      <c r="J756" s="233">
        <f t="shared" si="76"/>
        <v>3.1094034571823285E-4</v>
      </c>
      <c r="K756" s="145">
        <f>IFERROR(VLOOKUP($A756,[7]P.O.!$A:$J,10,),"")</f>
        <v>0.16800000000000001</v>
      </c>
      <c r="L756" s="265"/>
    </row>
    <row r="757" spans="1:12" s="249" customFormat="1">
      <c r="A757" s="79" t="s">
        <v>636</v>
      </c>
      <c r="B757" s="80" t="str">
        <f>IFERROR(VLOOKUP($A757,[7]P.O.!$A:$J,2,),"")</f>
        <v>COTSV45009</v>
      </c>
      <c r="C757" s="80" t="str">
        <f>IFERROR(VLOOKUP($A757,[7]P.O.!$A:$J,3,),"")</f>
        <v>COTAÇÃO</v>
      </c>
      <c r="D757" s="81" t="str">
        <f>IFERROR(VLOOKUP($A757,[7]P.O.!$A:$J,4,),"")</f>
        <v>FORNECIMENTO E INSTALAÇÃO DE TUBO COBRE 3/8", CLASSE A</v>
      </c>
      <c r="E757" s="142" t="str">
        <f>IFERROR(VLOOKUP($A757,[7]P.O.!$A:$J,5,),"")</f>
        <v>KG</v>
      </c>
      <c r="F757" s="143">
        <f>IFERROR(VLOOKUP($A757,[7]P.O.!$A:$J,6,),"")</f>
        <v>5</v>
      </c>
      <c r="G757" s="144">
        <f>IFERROR(VLOOKUP($A757,[7]P.O.!$A:$J,7,),"")</f>
        <v>70.718241583106447</v>
      </c>
      <c r="H757" s="144">
        <f>IFERROR(VLOOKUP($A757,[7]P.O.!$A:$J,8,),"")</f>
        <v>82.6</v>
      </c>
      <c r="I757" s="144">
        <f>IFERROR(VLOOKUP($A757,[7]P.O.!$A:$J,9,),"")</f>
        <v>413</v>
      </c>
      <c r="J757" s="233">
        <f t="shared" si="76"/>
        <v>1.9433771607389554E-4</v>
      </c>
      <c r="K757" s="145">
        <f>IFERROR(VLOOKUP($A757,[7]P.O.!$A:$J,10,),"")</f>
        <v>0.16800000000000001</v>
      </c>
      <c r="L757" s="265"/>
    </row>
    <row r="758" spans="1:12" s="249" customFormat="1">
      <c r="A758" s="79" t="s">
        <v>637</v>
      </c>
      <c r="B758" s="80" t="str">
        <f>IFERROR(VLOOKUP($A758,[7]P.O.!$A:$J,2,),"")</f>
        <v>COTSV45010</v>
      </c>
      <c r="C758" s="80" t="str">
        <f>IFERROR(VLOOKUP($A758,[7]P.O.!$A:$J,3,),"")</f>
        <v>COTAÇÃO</v>
      </c>
      <c r="D758" s="81" t="str">
        <f>IFERROR(VLOOKUP($A758,[7]P.O.!$A:$J,4,),"")</f>
        <v>FORNECIMENTO E INSTALAÇÃO DE TUBO COBRE 1/4", CLASSE A</v>
      </c>
      <c r="E758" s="142" t="str">
        <f>IFERROR(VLOOKUP($A758,[7]P.O.!$A:$J,5,),"")</f>
        <v>KG</v>
      </c>
      <c r="F758" s="143">
        <f>IFERROR(VLOOKUP($A758,[7]P.O.!$A:$J,6,),"")</f>
        <v>10</v>
      </c>
      <c r="G758" s="144">
        <f>IFERROR(VLOOKUP($A758,[7]P.O.!$A:$J,7,),"")</f>
        <v>70.718241583106447</v>
      </c>
      <c r="H758" s="144">
        <f>IFERROR(VLOOKUP($A758,[7]P.O.!$A:$J,8,),"")</f>
        <v>82.6</v>
      </c>
      <c r="I758" s="144">
        <f>IFERROR(VLOOKUP($A758,[7]P.O.!$A:$J,9,),"")</f>
        <v>826</v>
      </c>
      <c r="J758" s="233">
        <f t="shared" si="76"/>
        <v>3.8867543214779108E-4</v>
      </c>
      <c r="K758" s="145">
        <f>IFERROR(VLOOKUP($A758,[7]P.O.!$A:$J,10,),"")</f>
        <v>0.16800000000000001</v>
      </c>
      <c r="L758" s="265"/>
    </row>
    <row r="759" spans="1:12" s="249" customFormat="1" ht="33">
      <c r="A759" s="79" t="s">
        <v>638</v>
      </c>
      <c r="B759" s="80" t="str">
        <f>IFERROR(VLOOKUP($A759,[7]P.O.!$A:$J,2,),"")</f>
        <v>COTSV45011</v>
      </c>
      <c r="C759" s="80" t="str">
        <f>IFERROR(VLOOKUP($A759,[7]P.O.!$A:$J,3,),"")</f>
        <v>COTAÇÃO</v>
      </c>
      <c r="D759" s="81" t="str">
        <f>IFERROR(VLOOKUP($A759,[7]P.O.!$A:$J,4,),"")</f>
        <v>FORNECIMENTO E INSTALAÇÃO DE ISOLAMENTO TUBULAÇÃO 1 1/8" AF ARMACELL OU EQUIVALENTE TECNICO</v>
      </c>
      <c r="E759" s="142" t="str">
        <f>IFERROR(VLOOKUP($A759,[7]P.O.!$A:$J,5,),"")</f>
        <v>PÇ</v>
      </c>
      <c r="F759" s="143">
        <f>IFERROR(VLOOKUP($A759,[7]P.O.!$A:$J,6,),"")</f>
        <v>10</v>
      </c>
      <c r="G759" s="144">
        <f>IFERROR(VLOOKUP($A759,[7]P.O.!$A:$J,7,),"")</f>
        <v>23.777727604754631</v>
      </c>
      <c r="H759" s="144">
        <f>IFERROR(VLOOKUP($A759,[7]P.O.!$A:$J,8,),"")</f>
        <v>27.77</v>
      </c>
      <c r="I759" s="144">
        <f>IFERROR(VLOOKUP($A759,[7]P.O.!$A:$J,9,),"")</f>
        <v>277.7</v>
      </c>
      <c r="J759" s="233">
        <f t="shared" si="76"/>
        <v>1.3067211562644258E-4</v>
      </c>
      <c r="K759" s="145">
        <f>IFERROR(VLOOKUP($A759,[7]P.O.!$A:$J,10,),"")</f>
        <v>0.16800000000000001</v>
      </c>
      <c r="L759" s="265"/>
    </row>
    <row r="760" spans="1:12" s="249" customFormat="1" ht="33">
      <c r="A760" s="79" t="s">
        <v>639</v>
      </c>
      <c r="B760" s="80" t="str">
        <f>IFERROR(VLOOKUP($A760,[7]P.O.!$A:$J,2,),"")</f>
        <v>COTSV45012</v>
      </c>
      <c r="C760" s="80" t="str">
        <f>IFERROR(VLOOKUP($A760,[7]P.O.!$A:$J,3,),"")</f>
        <v>COTAÇÃO</v>
      </c>
      <c r="D760" s="81" t="str">
        <f>IFERROR(VLOOKUP($A760,[7]P.O.!$A:$J,4,),"")</f>
        <v>FORNECIMENTO E INSTALAÇÃO DE ISOLAMENTO TUBULAÇÃO 7/8" AF ARMACELL OU EQUIVALENTE TECNICO</v>
      </c>
      <c r="E760" s="142" t="str">
        <f>IFERROR(VLOOKUP($A760,[7]P.O.!$A:$J,5,),"")</f>
        <v>PÇ</v>
      </c>
      <c r="F760" s="143">
        <f>IFERROR(VLOOKUP($A760,[7]P.O.!$A:$J,6,),"")</f>
        <v>10</v>
      </c>
      <c r="G760" s="144">
        <f>IFERROR(VLOOKUP($A760,[7]P.O.!$A:$J,7,),"")</f>
        <v>30.64457135267946</v>
      </c>
      <c r="H760" s="144">
        <f>IFERROR(VLOOKUP($A760,[7]P.O.!$A:$J,8,),"")</f>
        <v>35.79</v>
      </c>
      <c r="I760" s="144">
        <f>IFERROR(VLOOKUP($A760,[7]P.O.!$A:$J,9,),"")</f>
        <v>357.9</v>
      </c>
      <c r="J760" s="233">
        <f t="shared" si="76"/>
        <v>1.6841033555168816E-4</v>
      </c>
      <c r="K760" s="145">
        <f>IFERROR(VLOOKUP($A760,[7]P.O.!$A:$J,10,),"")</f>
        <v>0.16800000000000001</v>
      </c>
      <c r="L760" s="265"/>
    </row>
    <row r="761" spans="1:12" s="249" customFormat="1" ht="33">
      <c r="A761" s="79" t="s">
        <v>640</v>
      </c>
      <c r="B761" s="80" t="str">
        <f>IFERROR(VLOOKUP($A761,[7]P.O.!$A:$J,2,),"")</f>
        <v>COTSV45013</v>
      </c>
      <c r="C761" s="80" t="str">
        <f>IFERROR(VLOOKUP($A761,[7]P.O.!$A:$J,3,),"")</f>
        <v>COTAÇÃO</v>
      </c>
      <c r="D761" s="81" t="str">
        <f>IFERROR(VLOOKUP($A761,[7]P.O.!$A:$J,4,),"")</f>
        <v>FORNECIMENTO E INSTALAÇÃO DE ISOLAMENTO TUBULAÇÃO 3/8" AF ARMACELL OU EQUIVALENTE TECNICO</v>
      </c>
      <c r="E761" s="142" t="str">
        <f>IFERROR(VLOOKUP($A761,[7]P.O.!$A:$J,5,),"")</f>
        <v>PÇ</v>
      </c>
      <c r="F761" s="143">
        <f>IFERROR(VLOOKUP($A761,[7]P.O.!$A:$J,6,),"")</f>
        <v>20</v>
      </c>
      <c r="G761" s="144">
        <f>IFERROR(VLOOKUP($A761,[7]P.O.!$A:$J,7,),"")</f>
        <v>24.187688425526265</v>
      </c>
      <c r="H761" s="144">
        <f>IFERROR(VLOOKUP($A761,[7]P.O.!$A:$J,8,),"")</f>
        <v>28.25</v>
      </c>
      <c r="I761" s="144">
        <f>IFERROR(VLOOKUP($A761,[7]P.O.!$A:$J,9,),"")</f>
        <v>565</v>
      </c>
      <c r="J761" s="233">
        <f t="shared" si="76"/>
        <v>2.6586152441101932E-4</v>
      </c>
      <c r="K761" s="145">
        <f>IFERROR(VLOOKUP($A761,[7]P.O.!$A:$J,10,),"")</f>
        <v>0.16800000000000001</v>
      </c>
      <c r="L761" s="265"/>
    </row>
    <row r="762" spans="1:12" s="249" customFormat="1" ht="33">
      <c r="A762" s="79" t="s">
        <v>641</v>
      </c>
      <c r="B762" s="80" t="str">
        <f>IFERROR(VLOOKUP($A762,[7]P.O.!$A:$J,2,),"")</f>
        <v>COTSV45014</v>
      </c>
      <c r="C762" s="80" t="str">
        <f>IFERROR(VLOOKUP($A762,[7]P.O.!$A:$J,3,),"")</f>
        <v>COTAÇÃO</v>
      </c>
      <c r="D762" s="81" t="str">
        <f>IFERROR(VLOOKUP($A762,[7]P.O.!$A:$J,4,),"")</f>
        <v>FORNECIMENTO E INSTALAÇÃO DE ISOLAMENTO TUBULAÇÃO 1/4" AF ARMACELL OU EQUIVALENTE TECNICO</v>
      </c>
      <c r="E762" s="142" t="str">
        <f>IFERROR(VLOOKUP($A762,[7]P.O.!$A:$J,5,),"")</f>
        <v>PÇ</v>
      </c>
      <c r="F762" s="143">
        <f>IFERROR(VLOOKUP($A762,[7]P.O.!$A:$J,6,),"")</f>
        <v>20</v>
      </c>
      <c r="G762" s="144">
        <f>IFERROR(VLOOKUP($A762,[7]P.O.!$A:$J,7,),"")</f>
        <v>21.727923500896473</v>
      </c>
      <c r="H762" s="144">
        <f>IFERROR(VLOOKUP($A762,[7]P.O.!$A:$J,8,),"")</f>
        <v>25.38</v>
      </c>
      <c r="I762" s="144">
        <f>IFERROR(VLOOKUP($A762,[7]P.O.!$A:$J,9,),"")</f>
        <v>507.6</v>
      </c>
      <c r="J762" s="233">
        <f t="shared" si="76"/>
        <v>2.3885187573634232E-4</v>
      </c>
      <c r="K762" s="145">
        <f>IFERROR(VLOOKUP($A762,[7]P.O.!$A:$J,10,),"")</f>
        <v>0.16800000000000001</v>
      </c>
      <c r="L762" s="265"/>
    </row>
    <row r="763" spans="1:12" s="249" customFormat="1">
      <c r="A763" s="79" t="s">
        <v>642</v>
      </c>
      <c r="B763" s="80" t="str">
        <f>IFERROR(VLOOKUP($A763,[7]P.O.!$A:$J,2,),"")</f>
        <v>COTSV45015</v>
      </c>
      <c r="C763" s="80" t="str">
        <f>IFERROR(VLOOKUP($A763,[7]P.O.!$A:$J,3,),"")</f>
        <v>COTAÇÃO</v>
      </c>
      <c r="D763" s="81" t="str">
        <f>IFERROR(VLOOKUP($A763,[7]P.O.!$A:$J,4,),"")</f>
        <v>FORNECIMENTO E EXECUÇÃO DE ELETRODOS PARA SOLDAGEM</v>
      </c>
      <c r="E763" s="142" t="str">
        <f>IFERROR(VLOOKUP($A763,[7]P.O.!$A:$J,5,),"")</f>
        <v>KG</v>
      </c>
      <c r="F763" s="143">
        <f>IFERROR(VLOOKUP($A763,[7]P.O.!$A:$J,6,),"")</f>
        <v>5</v>
      </c>
      <c r="G763" s="144">
        <f>IFERROR(VLOOKUP($A763,[7]P.O.!$A:$J,7,),"")</f>
        <v>336.2498651968923</v>
      </c>
      <c r="H763" s="144">
        <f>IFERROR(VLOOKUP($A763,[7]P.O.!$A:$J,8,),"")</f>
        <v>392.74</v>
      </c>
      <c r="I763" s="144">
        <f>IFERROR(VLOOKUP($A763,[7]P.O.!$A:$J,9,),"")</f>
        <v>1963.7</v>
      </c>
      <c r="J763" s="233">
        <f t="shared" si="76"/>
        <v>9.2402172652374982E-4</v>
      </c>
      <c r="K763" s="145">
        <f>IFERROR(VLOOKUP($A763,[7]P.O.!$A:$J,10,),"")</f>
        <v>0.16800000000000001</v>
      </c>
      <c r="L763" s="265"/>
    </row>
    <row r="764" spans="1:12" s="251" customFormat="1">
      <c r="A764" s="111"/>
      <c r="B764" s="112"/>
      <c r="C764" s="112"/>
      <c r="D764" s="113"/>
      <c r="E764" s="182"/>
      <c r="F764" s="183"/>
      <c r="G764" s="184"/>
      <c r="H764" s="184"/>
      <c r="I764" s="184"/>
      <c r="J764" s="253" t="str">
        <f t="shared" si="76"/>
        <v/>
      </c>
      <c r="K764" s="185"/>
    </row>
    <row r="765" spans="1:12" ht="17.25" thickBot="1">
      <c r="A765" s="22"/>
      <c r="B765" s="27"/>
      <c r="C765" s="27"/>
      <c r="D765" s="34"/>
      <c r="E765" s="19"/>
      <c r="F765" s="37"/>
      <c r="G765" s="42"/>
      <c r="H765" s="42"/>
      <c r="I765" s="42"/>
      <c r="J765" s="42"/>
      <c r="K765" s="254"/>
    </row>
    <row r="766" spans="1:12" ht="17.25" thickBot="1">
      <c r="A766" s="22"/>
      <c r="B766" s="26"/>
      <c r="C766" s="295" t="s">
        <v>21</v>
      </c>
      <c r="D766" s="295"/>
      <c r="E766" s="295"/>
      <c r="F766" s="295"/>
      <c r="G766" s="41"/>
      <c r="H766" s="42"/>
      <c r="I766" s="42"/>
      <c r="J766" s="42"/>
      <c r="K766" s="254"/>
    </row>
    <row r="767" spans="1:12" ht="17.25" thickBot="1">
      <c r="A767" s="22"/>
      <c r="B767" s="26"/>
      <c r="C767" s="258" t="s">
        <v>0</v>
      </c>
      <c r="D767" s="33" t="s">
        <v>22</v>
      </c>
      <c r="E767" s="312" t="s">
        <v>19</v>
      </c>
      <c r="F767" s="312"/>
      <c r="G767" s="41"/>
      <c r="H767" s="42"/>
      <c r="I767" s="42"/>
      <c r="J767" s="42"/>
      <c r="K767" s="254"/>
    </row>
    <row r="768" spans="1:12" s="232" customFormat="1">
      <c r="A768" s="114"/>
      <c r="B768" s="115"/>
      <c r="C768" s="116" t="s">
        <v>27</v>
      </c>
      <c r="D768" s="117" t="str">
        <f t="shared" ref="D768:D776" si="77">VLOOKUP(C768,A:J,4,)</f>
        <v>SERVIÇOS PRELIMINARES</v>
      </c>
      <c r="E768" s="310">
        <f t="shared" ref="E768:E776" si="78">VLOOKUP(C768,A:J,9,)</f>
        <v>345162.13</v>
      </c>
      <c r="F768" s="311"/>
      <c r="G768" s="118"/>
      <c r="H768" s="119"/>
      <c r="I768" s="119"/>
      <c r="J768" s="119"/>
      <c r="K768" s="255"/>
      <c r="L768" s="265"/>
    </row>
    <row r="769" spans="1:12" s="232" customFormat="1">
      <c r="A769" s="114"/>
      <c r="B769" s="115"/>
      <c r="C769" s="120" t="s">
        <v>43</v>
      </c>
      <c r="D769" s="97" t="str">
        <f t="shared" si="77"/>
        <v>OBRAS CIVIS</v>
      </c>
      <c r="E769" s="305">
        <f t="shared" si="78"/>
        <v>1035790.4400000001</v>
      </c>
      <c r="F769" s="306"/>
      <c r="G769" s="118"/>
      <c r="H769" s="119"/>
      <c r="I769" s="119"/>
      <c r="J769" s="119"/>
      <c r="K769" s="255"/>
      <c r="L769" s="265"/>
    </row>
    <row r="770" spans="1:12" s="232" customFormat="1">
      <c r="A770" s="114"/>
      <c r="B770" s="115"/>
      <c r="C770" s="120" t="s">
        <v>62</v>
      </c>
      <c r="D770" s="97" t="str">
        <f t="shared" si="77"/>
        <v>FUNDAÇÕES E ESTRUTURAS</v>
      </c>
      <c r="E770" s="305">
        <f t="shared" si="78"/>
        <v>251338</v>
      </c>
      <c r="F770" s="306"/>
      <c r="G770" s="118"/>
      <c r="H770" s="119"/>
      <c r="I770" s="119"/>
      <c r="J770" s="119"/>
      <c r="K770" s="255"/>
      <c r="L770" s="265"/>
    </row>
    <row r="771" spans="1:12" s="232" customFormat="1">
      <c r="A771" s="114"/>
      <c r="B771" s="115"/>
      <c r="C771" s="120" t="s">
        <v>78</v>
      </c>
      <c r="D771" s="97" t="str">
        <f t="shared" si="77"/>
        <v>INSTALAÇÕES ELÉTRICAS</v>
      </c>
      <c r="E771" s="305">
        <f t="shared" si="78"/>
        <v>293034.43</v>
      </c>
      <c r="F771" s="306"/>
      <c r="G771" s="118"/>
      <c r="H771" s="119"/>
      <c r="I771" s="119"/>
      <c r="J771" s="119"/>
      <c r="K771" s="255"/>
      <c r="L771" s="265"/>
    </row>
    <row r="772" spans="1:12" s="232" customFormat="1">
      <c r="A772" s="114"/>
      <c r="B772" s="115"/>
      <c r="C772" s="120" t="s">
        <v>137</v>
      </c>
      <c r="D772" s="97" t="str">
        <f t="shared" si="77"/>
        <v>CFTV</v>
      </c>
      <c r="E772" s="305">
        <f t="shared" si="78"/>
        <v>33425.49</v>
      </c>
      <c r="F772" s="306"/>
      <c r="G772" s="118"/>
      <c r="H772" s="119"/>
      <c r="I772" s="119"/>
      <c r="J772" s="119"/>
      <c r="K772" s="255"/>
      <c r="L772" s="265"/>
    </row>
    <row r="773" spans="1:12" s="232" customFormat="1">
      <c r="A773" s="114"/>
      <c r="B773" s="115"/>
      <c r="C773" s="121" t="s">
        <v>138</v>
      </c>
      <c r="D773" s="122" t="str">
        <f t="shared" si="77"/>
        <v>REDE DE TELEMÁTICA</v>
      </c>
      <c r="E773" s="305">
        <f t="shared" si="78"/>
        <v>89568.6</v>
      </c>
      <c r="F773" s="306"/>
      <c r="G773" s="118"/>
      <c r="H773" s="119"/>
      <c r="I773" s="119"/>
      <c r="J773" s="119"/>
      <c r="K773" s="255"/>
      <c r="L773" s="265"/>
    </row>
    <row r="774" spans="1:12" s="232" customFormat="1">
      <c r="A774" s="114"/>
      <c r="B774" s="115"/>
      <c r="C774" s="121" t="s">
        <v>150</v>
      </c>
      <c r="D774" s="122" t="str">
        <f t="shared" si="77"/>
        <v>INSTALAÇÕES HIDROSSANITÁRIAS</v>
      </c>
      <c r="E774" s="305">
        <f t="shared" si="78"/>
        <v>14919.3</v>
      </c>
      <c r="F774" s="306"/>
      <c r="G774" s="118"/>
      <c r="H774" s="119"/>
      <c r="I774" s="119"/>
      <c r="J774" s="119"/>
      <c r="K774" s="255"/>
      <c r="L774" s="265"/>
    </row>
    <row r="775" spans="1:12" s="232" customFormat="1">
      <c r="A775" s="114"/>
      <c r="B775" s="115"/>
      <c r="C775" s="121" t="s">
        <v>171</v>
      </c>
      <c r="D775" s="122" t="str">
        <f t="shared" si="77"/>
        <v>SISTEMA DE COMBATE E PREVENÇÃO A INCÊNDIO</v>
      </c>
      <c r="E775" s="305">
        <f t="shared" si="78"/>
        <v>12346.32</v>
      </c>
      <c r="F775" s="306"/>
      <c r="G775" s="118"/>
      <c r="H775" s="119"/>
      <c r="I775" s="119"/>
      <c r="J775" s="119"/>
      <c r="K775" s="255"/>
      <c r="L775" s="265"/>
    </row>
    <row r="776" spans="1:12" s="232" customFormat="1" ht="17.25" thickBot="1">
      <c r="A776" s="114"/>
      <c r="B776" s="115"/>
      <c r="C776" s="121" t="s">
        <v>174</v>
      </c>
      <c r="D776" s="122" t="str">
        <f t="shared" si="77"/>
        <v>SISTEMA DE AR CONDICIONADO</v>
      </c>
      <c r="E776" s="305">
        <f t="shared" si="78"/>
        <v>49581.77</v>
      </c>
      <c r="F776" s="306"/>
      <c r="G776" s="118"/>
      <c r="H776" s="119"/>
      <c r="I776" s="119"/>
      <c r="J776" s="119"/>
      <c r="K776" s="255"/>
      <c r="L776" s="265"/>
    </row>
    <row r="777" spans="1:12" ht="17.25" thickBot="1">
      <c r="A777" s="22"/>
      <c r="B777" s="26"/>
      <c r="C777" s="313" t="s">
        <v>23</v>
      </c>
      <c r="D777" s="314"/>
      <c r="E777" s="315">
        <f>SUM(E768:F776)</f>
        <v>2125166.48</v>
      </c>
      <c r="F777" s="316"/>
      <c r="G777" s="41"/>
      <c r="H777" s="42"/>
      <c r="I777" s="42"/>
      <c r="J777" s="42"/>
      <c r="K777" s="254"/>
    </row>
    <row r="778" spans="1:12">
      <c r="A778" s="22"/>
      <c r="B778" s="27"/>
      <c r="C778" s="27"/>
      <c r="D778" s="34"/>
      <c r="E778" s="19"/>
      <c r="F778" s="37"/>
      <c r="G778" s="42"/>
      <c r="H778" s="42"/>
      <c r="I778" s="42"/>
      <c r="J778" s="42"/>
      <c r="K778" s="254"/>
    </row>
    <row r="779" spans="1:12" ht="17.25" thickBot="1">
      <c r="A779" s="20"/>
      <c r="B779" s="28"/>
      <c r="C779" s="28"/>
      <c r="D779" s="35"/>
      <c r="E779" s="21"/>
      <c r="F779" s="38"/>
      <c r="G779" s="43"/>
      <c r="H779" s="43"/>
      <c r="I779" s="43"/>
      <c r="J779" s="43"/>
      <c r="K779" s="256"/>
    </row>
  </sheetData>
  <mergeCells count="25">
    <mergeCell ref="C777:D777"/>
    <mergeCell ref="E777:F777"/>
    <mergeCell ref="E771:F771"/>
    <mergeCell ref="E772:F772"/>
    <mergeCell ref="E773:F773"/>
    <mergeCell ref="E774:F774"/>
    <mergeCell ref="E775:F775"/>
    <mergeCell ref="E776:F776"/>
    <mergeCell ref="E770:F770"/>
    <mergeCell ref="B6:G6"/>
    <mergeCell ref="H6:I6"/>
    <mergeCell ref="E768:F768"/>
    <mergeCell ref="E769:F769"/>
    <mergeCell ref="E767:F767"/>
    <mergeCell ref="K1:K6"/>
    <mergeCell ref="A7:K7"/>
    <mergeCell ref="A8:K8"/>
    <mergeCell ref="A9:K9"/>
    <mergeCell ref="C766:F766"/>
    <mergeCell ref="D1:G1"/>
    <mergeCell ref="D2:G2"/>
    <mergeCell ref="B4:G4"/>
    <mergeCell ref="I4:J4"/>
    <mergeCell ref="B5:G5"/>
    <mergeCell ref="H5:I5"/>
  </mergeCells>
  <pageMargins left="0.51181102362204722" right="0.51181102362204722" top="0.78740157480314965" bottom="0.59055118110236227" header="0.31496062992125984" footer="0.31496062992125984"/>
  <pageSetup paperSize="9" scale="62" fitToHeight="1000" orientation="landscape" r:id="rId1"/>
  <headerFooter>
    <oddFooter>&amp;C&amp;P/&amp;N</oddFooter>
  </headerFooter>
  <rowBreaks count="2" manualBreakCount="2">
    <brk id="743" max="9" man="1"/>
    <brk id="765" max="9"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tabSelected="1" view="pageBreakPreview" zoomScale="80" zoomScaleSheetLayoutView="80" workbookViewId="0">
      <selection activeCell="O40" sqref="O40"/>
    </sheetView>
  </sheetViews>
  <sheetFormatPr defaultColWidth="9.140625" defaultRowHeight="16.5"/>
  <cols>
    <col min="1" max="1" width="9.140625" style="3"/>
    <col min="2" max="2" width="66.140625" style="29" customWidth="1"/>
    <col min="3" max="3" width="17.140625" style="36" bestFit="1" customWidth="1"/>
    <col min="4" max="9" width="16.140625" style="2" customWidth="1"/>
    <col min="10" max="11" width="16.140625" style="44" customWidth="1"/>
    <col min="12" max="12" width="16.140625" style="45" customWidth="1"/>
    <col min="13" max="13" width="15.28515625" style="1" bestFit="1" customWidth="1"/>
    <col min="14" max="14" width="9.140625" style="1"/>
    <col min="15" max="15" width="11.28515625" style="1" bestFit="1" customWidth="1"/>
    <col min="16" max="16384" width="9.140625" style="1"/>
  </cols>
  <sheetData>
    <row r="1" spans="1:14">
      <c r="A1" s="317" t="s">
        <v>643</v>
      </c>
      <c r="B1" s="318"/>
      <c r="C1" s="318"/>
      <c r="D1" s="318"/>
      <c r="E1" s="318"/>
      <c r="F1" s="318"/>
      <c r="G1" s="318"/>
      <c r="H1" s="318"/>
      <c r="I1" s="318"/>
      <c r="J1" s="318"/>
      <c r="K1" s="318"/>
      <c r="L1" s="319"/>
    </row>
    <row r="2" spans="1:14">
      <c r="A2" s="320" t="s">
        <v>658</v>
      </c>
      <c r="B2" s="321"/>
      <c r="C2" s="321"/>
      <c r="D2" s="321"/>
      <c r="E2" s="321"/>
      <c r="F2" s="321"/>
      <c r="G2" s="321"/>
      <c r="H2" s="321"/>
      <c r="I2" s="321"/>
      <c r="J2" s="321"/>
      <c r="K2" s="321"/>
      <c r="L2" s="322"/>
    </row>
    <row r="3" spans="1:14" s="10" customFormat="1" ht="15.75">
      <c r="A3" s="271" t="s">
        <v>26</v>
      </c>
      <c r="B3" s="325" t="s">
        <v>657</v>
      </c>
      <c r="C3" s="325"/>
      <c r="D3" s="325"/>
      <c r="E3" s="325"/>
      <c r="F3" s="325"/>
      <c r="G3" s="325"/>
      <c r="H3" s="325"/>
      <c r="I3" s="325"/>
      <c r="J3" s="332" t="s">
        <v>11</v>
      </c>
      <c r="K3" s="333"/>
      <c r="L3" s="272">
        <v>42095</v>
      </c>
    </row>
    <row r="4" spans="1:14" s="10" customFormat="1" ht="15.75">
      <c r="A4" s="271" t="s">
        <v>12</v>
      </c>
      <c r="B4" s="302" t="s">
        <v>185</v>
      </c>
      <c r="C4" s="302"/>
      <c r="D4" s="302"/>
      <c r="E4" s="302"/>
      <c r="F4" s="302"/>
      <c r="G4" s="302"/>
      <c r="H4" s="302"/>
      <c r="I4" s="302"/>
      <c r="J4" s="304" t="s">
        <v>656</v>
      </c>
      <c r="K4" s="304"/>
      <c r="L4" s="273">
        <v>0.16800000000000001</v>
      </c>
    </row>
    <row r="5" spans="1:14" s="10" customFormat="1" thickBot="1">
      <c r="A5" s="274"/>
      <c r="B5" s="307"/>
      <c r="C5" s="307"/>
      <c r="D5" s="307"/>
      <c r="E5" s="307"/>
      <c r="F5" s="307"/>
      <c r="G5" s="307"/>
      <c r="H5" s="307"/>
      <c r="I5" s="307"/>
      <c r="J5" s="309" t="s">
        <v>13</v>
      </c>
      <c r="K5" s="309"/>
      <c r="L5" s="275">
        <v>0.25</v>
      </c>
    </row>
    <row r="6" spans="1:14" s="10" customFormat="1" thickBot="1">
      <c r="A6" s="276"/>
      <c r="B6" s="46"/>
      <c r="C6" s="47"/>
      <c r="D6" s="48"/>
      <c r="E6" s="48"/>
      <c r="F6" s="48"/>
      <c r="G6" s="48"/>
      <c r="H6" s="48"/>
      <c r="I6" s="48"/>
      <c r="J6" s="49"/>
      <c r="K6" s="49"/>
      <c r="L6" s="277"/>
    </row>
    <row r="7" spans="1:14" s="10" customFormat="1" thickBot="1">
      <c r="A7" s="326" t="s">
        <v>181</v>
      </c>
      <c r="B7" s="293"/>
      <c r="C7" s="293"/>
      <c r="D7" s="293"/>
      <c r="E7" s="293"/>
      <c r="F7" s="293"/>
      <c r="G7" s="293"/>
      <c r="H7" s="293"/>
      <c r="I7" s="293"/>
      <c r="J7" s="293"/>
      <c r="K7" s="293"/>
      <c r="L7" s="327"/>
    </row>
    <row r="8" spans="1:14" s="50" customFormat="1" ht="13.5" thickBot="1">
      <c r="A8" s="278"/>
      <c r="B8" s="15"/>
      <c r="C8" s="16"/>
      <c r="D8" s="17"/>
      <c r="E8" s="17"/>
      <c r="F8" s="17"/>
      <c r="G8" s="17"/>
      <c r="H8" s="17"/>
      <c r="I8" s="17"/>
      <c r="J8" s="40"/>
      <c r="K8" s="40"/>
      <c r="L8" s="279"/>
    </row>
    <row r="9" spans="1:14" s="18" customFormat="1" ht="12.75" customHeight="1">
      <c r="A9" s="328" t="s">
        <v>14</v>
      </c>
      <c r="B9" s="328" t="s">
        <v>15</v>
      </c>
      <c r="C9" s="330" t="s">
        <v>1</v>
      </c>
      <c r="D9" s="349" t="s">
        <v>178</v>
      </c>
      <c r="E9" s="349"/>
      <c r="F9" s="349"/>
      <c r="G9" s="349"/>
      <c r="H9" s="349"/>
      <c r="I9" s="349"/>
      <c r="J9" s="349"/>
      <c r="K9" s="349"/>
      <c r="L9" s="350"/>
    </row>
    <row r="10" spans="1:14" s="18" customFormat="1" ht="13.5" customHeight="1" thickBot="1">
      <c r="A10" s="329"/>
      <c r="B10" s="329"/>
      <c r="C10" s="331"/>
      <c r="D10" s="66">
        <v>1</v>
      </c>
      <c r="E10" s="66">
        <v>2</v>
      </c>
      <c r="F10" s="66">
        <v>3</v>
      </c>
      <c r="G10" s="66">
        <v>4</v>
      </c>
      <c r="H10" s="66">
        <v>5</v>
      </c>
      <c r="I10" s="66">
        <v>6</v>
      </c>
      <c r="J10" s="66">
        <v>7</v>
      </c>
      <c r="K10" s="66">
        <v>8</v>
      </c>
      <c r="L10" s="66">
        <v>9</v>
      </c>
    </row>
    <row r="11" spans="1:14" s="191" customFormat="1">
      <c r="A11" s="334" t="s">
        <v>27</v>
      </c>
      <c r="B11" s="323" t="str">
        <f>VLOOKUP(A11,PSP!A:J,4,)</f>
        <v>SERVIÇOS PRELIMINARES</v>
      </c>
      <c r="C11" s="207"/>
      <c r="D11" s="208"/>
      <c r="E11" s="208"/>
      <c r="F11" s="208"/>
      <c r="G11" s="208"/>
      <c r="H11" s="208"/>
      <c r="I11" s="208"/>
      <c r="J11" s="208"/>
      <c r="K11" s="208"/>
      <c r="L11" s="208"/>
      <c r="M11" s="205"/>
    </row>
    <row r="12" spans="1:14" s="191" customFormat="1" ht="17.25" thickBot="1">
      <c r="A12" s="335"/>
      <c r="B12" s="324"/>
      <c r="C12" s="209"/>
      <c r="D12" s="210"/>
      <c r="E12" s="210"/>
      <c r="F12" s="210"/>
      <c r="G12" s="210"/>
      <c r="H12" s="210"/>
      <c r="I12" s="210"/>
      <c r="J12" s="210"/>
      <c r="K12" s="210"/>
      <c r="L12" s="210"/>
      <c r="M12" s="205"/>
      <c r="N12" s="194"/>
    </row>
    <row r="13" spans="1:14" s="197" customFormat="1">
      <c r="A13" s="336" t="s">
        <v>28</v>
      </c>
      <c r="B13" s="339" t="str">
        <f>VLOOKUP(A13,PSP!A:J,4,)</f>
        <v>ADMINISTRAÇÃO E CANTEIRO DE OBRA</v>
      </c>
      <c r="C13" s="284"/>
      <c r="D13" s="206"/>
      <c r="E13" s="206"/>
      <c r="F13" s="206"/>
      <c r="G13" s="206"/>
      <c r="H13" s="206"/>
      <c r="I13" s="206"/>
      <c r="J13" s="206"/>
      <c r="K13" s="206"/>
      <c r="L13" s="206"/>
      <c r="M13" s="205"/>
      <c r="N13" s="196"/>
    </row>
    <row r="14" spans="1:14" s="197" customFormat="1">
      <c r="A14" s="337"/>
      <c r="B14" s="340"/>
      <c r="C14" s="285"/>
      <c r="D14" s="193"/>
      <c r="E14" s="193"/>
      <c r="F14" s="193"/>
      <c r="G14" s="193"/>
      <c r="H14" s="193"/>
      <c r="I14" s="193"/>
      <c r="J14" s="193"/>
      <c r="K14" s="193"/>
      <c r="L14" s="193"/>
      <c r="M14" s="205"/>
      <c r="N14" s="196"/>
    </row>
    <row r="15" spans="1:14" s="202" customFormat="1">
      <c r="A15" s="338" t="s">
        <v>29</v>
      </c>
      <c r="B15" s="341" t="str">
        <f>VLOOKUP(A15,PSP!A:J,4,)</f>
        <v>EQUIPE DE ADMINISTRAÇÃO DA OBRA</v>
      </c>
      <c r="C15" s="283"/>
      <c r="D15" s="200"/>
      <c r="E15" s="200"/>
      <c r="F15" s="200"/>
      <c r="G15" s="200"/>
      <c r="H15" s="200"/>
      <c r="I15" s="200"/>
      <c r="J15" s="200"/>
      <c r="K15" s="200"/>
      <c r="L15" s="200"/>
      <c r="M15" s="205"/>
      <c r="N15" s="201"/>
    </row>
    <row r="16" spans="1:14" s="202" customFormat="1">
      <c r="A16" s="338"/>
      <c r="B16" s="341"/>
      <c r="C16" s="283"/>
      <c r="D16" s="203"/>
      <c r="E16" s="203"/>
      <c r="F16" s="203"/>
      <c r="G16" s="203"/>
      <c r="H16" s="203"/>
      <c r="I16" s="203"/>
      <c r="J16" s="203"/>
      <c r="K16" s="203"/>
      <c r="L16" s="203"/>
      <c r="M16" s="205"/>
      <c r="N16" s="201"/>
    </row>
    <row r="17" spans="1:15" s="202" customFormat="1">
      <c r="A17" s="338" t="s">
        <v>30</v>
      </c>
      <c r="B17" s="341" t="str">
        <f>VLOOKUP(A17,PSP!A:J,4,)</f>
        <v>OPERAÇÃO E MANUTENÇÃO DO CANTEIRO</v>
      </c>
      <c r="C17" s="283"/>
      <c r="D17" s="200"/>
      <c r="E17" s="215"/>
      <c r="F17" s="215"/>
      <c r="G17" s="215"/>
      <c r="H17" s="215"/>
      <c r="I17" s="215"/>
      <c r="J17" s="215"/>
      <c r="K17" s="215"/>
      <c r="L17" s="215"/>
      <c r="M17" s="205"/>
      <c r="N17" s="201"/>
    </row>
    <row r="18" spans="1:15" s="202" customFormat="1">
      <c r="A18" s="338"/>
      <c r="B18" s="341"/>
      <c r="C18" s="283"/>
      <c r="D18" s="203"/>
      <c r="E18" s="203"/>
      <c r="F18" s="203"/>
      <c r="G18" s="203"/>
      <c r="H18" s="203"/>
      <c r="I18" s="203"/>
      <c r="J18" s="203"/>
      <c r="K18" s="203"/>
      <c r="L18" s="203"/>
      <c r="M18" s="205"/>
      <c r="N18" s="201"/>
    </row>
    <row r="19" spans="1:15" s="202" customFormat="1">
      <c r="A19" s="338" t="s">
        <v>31</v>
      </c>
      <c r="B19" s="341" t="str">
        <f>VLOOKUP(A19,PSP!A:J,4,)</f>
        <v>MOBILIZAÇÃO/ DESMOBILIZAÇÃO</v>
      </c>
      <c r="C19" s="283"/>
      <c r="D19" s="200"/>
      <c r="E19" s="215"/>
      <c r="F19" s="215"/>
      <c r="G19" s="215"/>
      <c r="H19" s="215"/>
      <c r="I19" s="215"/>
      <c r="J19" s="215"/>
      <c r="K19" s="215"/>
      <c r="L19" s="200"/>
      <c r="M19" s="205"/>
      <c r="N19" s="201"/>
    </row>
    <row r="20" spans="1:15" s="202" customFormat="1">
      <c r="A20" s="338"/>
      <c r="B20" s="341"/>
      <c r="C20" s="283"/>
      <c r="D20" s="203"/>
      <c r="E20" s="216"/>
      <c r="F20" s="216"/>
      <c r="G20" s="216"/>
      <c r="H20" s="216"/>
      <c r="I20" s="216"/>
      <c r="J20" s="216"/>
      <c r="K20" s="216"/>
      <c r="L20" s="203"/>
      <c r="M20" s="205"/>
      <c r="N20" s="201"/>
    </row>
    <row r="21" spans="1:15" s="197" customFormat="1">
      <c r="A21" s="342" t="s">
        <v>32</v>
      </c>
      <c r="B21" s="340" t="str">
        <f>VLOOKUP(A21,PSP!A:J,4,)</f>
        <v>INSTALAÇÕES FÍSICAS DO CANTEIRO</v>
      </c>
      <c r="C21" s="198"/>
      <c r="D21" s="204"/>
      <c r="E21" s="215"/>
      <c r="F21" s="215"/>
      <c r="G21" s="215"/>
      <c r="H21" s="215"/>
      <c r="I21" s="215"/>
      <c r="J21" s="215"/>
      <c r="K21" s="215"/>
      <c r="L21" s="215"/>
      <c r="M21" s="205"/>
      <c r="N21" s="196"/>
    </row>
    <row r="22" spans="1:15" s="197" customFormat="1">
      <c r="A22" s="342"/>
      <c r="B22" s="340"/>
      <c r="C22" s="198"/>
      <c r="D22" s="193"/>
      <c r="E22" s="216"/>
      <c r="F22" s="216"/>
      <c r="G22" s="216"/>
      <c r="H22" s="216"/>
      <c r="I22" s="216"/>
      <c r="J22" s="216"/>
      <c r="K22" s="216"/>
      <c r="L22" s="193"/>
      <c r="M22" s="205"/>
      <c r="N22" s="196"/>
    </row>
    <row r="23" spans="1:15" s="197" customFormat="1">
      <c r="A23" s="342" t="s">
        <v>182</v>
      </c>
      <c r="B23" s="340" t="str">
        <f>VLOOKUP(A23,PSP!A:J,4,)</f>
        <v>SERVIÇOS ARQUEOLÓGICOS</v>
      </c>
      <c r="C23" s="198"/>
      <c r="D23" s="204"/>
      <c r="E23" s="204"/>
      <c r="F23" s="215"/>
      <c r="G23" s="215"/>
      <c r="H23" s="215"/>
      <c r="I23" s="215"/>
      <c r="J23" s="215"/>
      <c r="K23" s="215"/>
      <c r="L23" s="215"/>
      <c r="M23" s="205"/>
      <c r="N23" s="196"/>
    </row>
    <row r="24" spans="1:15" s="197" customFormat="1" ht="17.25" thickBot="1">
      <c r="A24" s="343"/>
      <c r="B24" s="344"/>
      <c r="C24" s="211"/>
      <c r="D24" s="212"/>
      <c r="E24" s="212"/>
      <c r="F24" s="212"/>
      <c r="G24" s="212"/>
      <c r="H24" s="212"/>
      <c r="I24" s="212"/>
      <c r="J24" s="212"/>
      <c r="K24" s="212"/>
      <c r="L24" s="212"/>
      <c r="M24" s="205"/>
      <c r="N24" s="196"/>
    </row>
    <row r="25" spans="1:15" s="191" customFormat="1">
      <c r="A25" s="334" t="s">
        <v>43</v>
      </c>
      <c r="B25" s="323" t="str">
        <f>VLOOKUP(A25,PSP!A:J,4,)</f>
        <v>OBRAS CIVIS</v>
      </c>
      <c r="C25" s="207"/>
      <c r="D25" s="217"/>
      <c r="E25" s="217"/>
      <c r="F25" s="208"/>
      <c r="G25" s="208"/>
      <c r="H25" s="208"/>
      <c r="I25" s="208"/>
      <c r="J25" s="208"/>
      <c r="K25" s="208"/>
      <c r="L25" s="208"/>
      <c r="M25" s="205"/>
      <c r="O25" s="195"/>
    </row>
    <row r="26" spans="1:15" s="191" customFormat="1" ht="17.25" thickBot="1">
      <c r="A26" s="335"/>
      <c r="B26" s="324"/>
      <c r="C26" s="209"/>
      <c r="D26" s="218"/>
      <c r="E26" s="218"/>
      <c r="F26" s="210"/>
      <c r="G26" s="210"/>
      <c r="H26" s="210"/>
      <c r="I26" s="210"/>
      <c r="J26" s="210"/>
      <c r="K26" s="210"/>
      <c r="L26" s="210"/>
      <c r="M26" s="205"/>
    </row>
    <row r="27" spans="1:15" s="191" customFormat="1">
      <c r="A27" s="334" t="s">
        <v>62</v>
      </c>
      <c r="B27" s="323" t="str">
        <f>VLOOKUP(A27,PSP!A:J,4,)</f>
        <v>FUNDAÇÕES E ESTRUTURAS</v>
      </c>
      <c r="C27" s="207"/>
      <c r="D27" s="217"/>
      <c r="E27" s="217"/>
      <c r="F27" s="208"/>
      <c r="G27" s="208"/>
      <c r="H27" s="208"/>
      <c r="I27" s="208"/>
      <c r="J27" s="217"/>
      <c r="K27" s="217"/>
      <c r="L27" s="217"/>
      <c r="M27" s="205"/>
    </row>
    <row r="28" spans="1:15" s="191" customFormat="1" ht="17.25" thickBot="1">
      <c r="A28" s="335"/>
      <c r="B28" s="324"/>
      <c r="C28" s="209"/>
      <c r="D28" s="218"/>
      <c r="E28" s="218"/>
      <c r="F28" s="210"/>
      <c r="G28" s="210"/>
      <c r="H28" s="210"/>
      <c r="I28" s="210"/>
      <c r="J28" s="218"/>
      <c r="K28" s="218"/>
      <c r="L28" s="218"/>
      <c r="M28" s="205"/>
    </row>
    <row r="29" spans="1:15" s="191" customFormat="1">
      <c r="A29" s="334" t="s">
        <v>78</v>
      </c>
      <c r="B29" s="323" t="str">
        <f>VLOOKUP(A29,PSP!A:J,4,)</f>
        <v>INSTALAÇÕES ELÉTRICAS</v>
      </c>
      <c r="C29" s="207"/>
      <c r="D29" s="217"/>
      <c r="E29" s="217"/>
      <c r="F29" s="217"/>
      <c r="G29" s="217"/>
      <c r="H29" s="217"/>
      <c r="I29" s="217"/>
      <c r="J29" s="208"/>
      <c r="K29" s="208"/>
      <c r="L29" s="208"/>
      <c r="M29" s="205"/>
    </row>
    <row r="30" spans="1:15" s="191" customFormat="1" ht="17.25" thickBot="1">
      <c r="A30" s="335"/>
      <c r="B30" s="324"/>
      <c r="C30" s="209"/>
      <c r="D30" s="218"/>
      <c r="E30" s="218"/>
      <c r="F30" s="218"/>
      <c r="G30" s="218"/>
      <c r="H30" s="218"/>
      <c r="I30" s="218"/>
      <c r="J30" s="210"/>
      <c r="K30" s="210"/>
      <c r="L30" s="210"/>
      <c r="M30" s="205"/>
    </row>
    <row r="31" spans="1:15" s="191" customFormat="1">
      <c r="A31" s="334" t="s">
        <v>137</v>
      </c>
      <c r="B31" s="323" t="str">
        <f>VLOOKUP(A31,PSP!A:J,4,)</f>
        <v>CFTV</v>
      </c>
      <c r="C31" s="207"/>
      <c r="D31" s="217"/>
      <c r="E31" s="217"/>
      <c r="F31" s="217"/>
      <c r="G31" s="217"/>
      <c r="H31" s="217"/>
      <c r="I31" s="217"/>
      <c r="J31" s="208"/>
      <c r="K31" s="208"/>
      <c r="L31" s="208"/>
      <c r="M31" s="205"/>
    </row>
    <row r="32" spans="1:15" s="191" customFormat="1" ht="17.25" thickBot="1">
      <c r="A32" s="335"/>
      <c r="B32" s="324"/>
      <c r="C32" s="209"/>
      <c r="D32" s="218"/>
      <c r="E32" s="218"/>
      <c r="F32" s="218"/>
      <c r="G32" s="218"/>
      <c r="H32" s="218"/>
      <c r="I32" s="218"/>
      <c r="J32" s="210"/>
      <c r="K32" s="210"/>
      <c r="L32" s="210"/>
      <c r="M32" s="205"/>
    </row>
    <row r="33" spans="1:13" s="191" customFormat="1">
      <c r="A33" s="334" t="s">
        <v>138</v>
      </c>
      <c r="B33" s="323" t="str">
        <f>VLOOKUP(A33,PSP!A:J,4,)</f>
        <v>REDE DE TELEMÁTICA</v>
      </c>
      <c r="C33" s="207"/>
      <c r="D33" s="217"/>
      <c r="E33" s="217"/>
      <c r="F33" s="217"/>
      <c r="G33" s="217"/>
      <c r="H33" s="217"/>
      <c r="I33" s="217"/>
      <c r="J33" s="208"/>
      <c r="K33" s="208"/>
      <c r="L33" s="208"/>
      <c r="M33" s="205"/>
    </row>
    <row r="34" spans="1:13" s="191" customFormat="1" ht="17.25" thickBot="1">
      <c r="A34" s="335"/>
      <c r="B34" s="324"/>
      <c r="C34" s="209"/>
      <c r="D34" s="218"/>
      <c r="E34" s="218"/>
      <c r="F34" s="218"/>
      <c r="G34" s="218"/>
      <c r="H34" s="218"/>
      <c r="I34" s="218"/>
      <c r="J34" s="210"/>
      <c r="K34" s="210"/>
      <c r="L34" s="210"/>
      <c r="M34" s="205"/>
    </row>
    <row r="35" spans="1:13" s="191" customFormat="1">
      <c r="A35" s="334" t="s">
        <v>150</v>
      </c>
      <c r="B35" s="323" t="str">
        <f>VLOOKUP(A35,PSP!A:J,4,)</f>
        <v>INSTALAÇÕES HIDROSSANITÁRIAS</v>
      </c>
      <c r="C35" s="207"/>
      <c r="D35" s="217"/>
      <c r="E35" s="217"/>
      <c r="F35" s="217"/>
      <c r="G35" s="217"/>
      <c r="H35" s="217"/>
      <c r="I35" s="217"/>
      <c r="J35" s="208"/>
      <c r="K35" s="208"/>
      <c r="L35" s="208"/>
      <c r="M35" s="205"/>
    </row>
    <row r="36" spans="1:13" s="191" customFormat="1" ht="17.25" thickBot="1">
      <c r="A36" s="335"/>
      <c r="B36" s="324"/>
      <c r="C36" s="209"/>
      <c r="D36" s="218"/>
      <c r="E36" s="218"/>
      <c r="F36" s="218"/>
      <c r="G36" s="218"/>
      <c r="H36" s="218"/>
      <c r="I36" s="218"/>
      <c r="J36" s="210"/>
      <c r="K36" s="210"/>
      <c r="L36" s="210"/>
      <c r="M36" s="205"/>
    </row>
    <row r="37" spans="1:13" s="191" customFormat="1">
      <c r="A37" s="334" t="s">
        <v>171</v>
      </c>
      <c r="B37" s="323" t="str">
        <f>VLOOKUP(A37,PSP!A:J,4,)</f>
        <v>SISTEMA DE COMBATE E PREVENÇÃO A INCÊNDIO</v>
      </c>
      <c r="C37" s="207"/>
      <c r="D37" s="217"/>
      <c r="E37" s="217"/>
      <c r="F37" s="217"/>
      <c r="G37" s="217"/>
      <c r="H37" s="217"/>
      <c r="I37" s="217"/>
      <c r="J37" s="208"/>
      <c r="K37" s="208"/>
      <c r="L37" s="208"/>
      <c r="M37" s="205"/>
    </row>
    <row r="38" spans="1:13" s="191" customFormat="1" ht="17.25" thickBot="1">
      <c r="A38" s="335"/>
      <c r="B38" s="324"/>
      <c r="C38" s="209"/>
      <c r="D38" s="218"/>
      <c r="E38" s="218"/>
      <c r="F38" s="218"/>
      <c r="G38" s="218"/>
      <c r="H38" s="218"/>
      <c r="I38" s="218"/>
      <c r="J38" s="210"/>
      <c r="K38" s="210"/>
      <c r="L38" s="210"/>
      <c r="M38" s="205"/>
    </row>
    <row r="39" spans="1:13" s="191" customFormat="1">
      <c r="A39" s="353" t="s">
        <v>174</v>
      </c>
      <c r="B39" s="355" t="str">
        <f>VLOOKUP(A39,PSP!A:J,4,)</f>
        <v>SISTEMA DE AR CONDICIONADO</v>
      </c>
      <c r="C39" s="213"/>
      <c r="D39" s="219"/>
      <c r="E39" s="219"/>
      <c r="F39" s="219"/>
      <c r="G39" s="219"/>
      <c r="H39" s="219"/>
      <c r="I39" s="219"/>
      <c r="J39" s="214"/>
      <c r="K39" s="214"/>
      <c r="L39" s="214"/>
      <c r="M39" s="205"/>
    </row>
    <row r="40" spans="1:13" s="191" customFormat="1" ht="17.25" thickBot="1">
      <c r="A40" s="354"/>
      <c r="B40" s="356"/>
      <c r="C40" s="192"/>
      <c r="D40" s="199"/>
      <c r="E40" s="199"/>
      <c r="F40" s="199"/>
      <c r="G40" s="199"/>
      <c r="H40" s="199"/>
      <c r="I40" s="199"/>
      <c r="J40" s="193"/>
      <c r="K40" s="193"/>
      <c r="L40" s="193"/>
      <c r="M40" s="205"/>
    </row>
    <row r="41" spans="1:13" s="63" customFormat="1">
      <c r="A41" s="345" t="s">
        <v>179</v>
      </c>
      <c r="B41" s="346"/>
      <c r="C41" s="70"/>
      <c r="D41" s="67">
        <f>D11+D25+D27+D29+D31+D33+D35+D37+D39</f>
        <v>0</v>
      </c>
      <c r="E41" s="67">
        <f t="shared" ref="E41:G41" si="0">E11+E25+E27+E29+E31+E33+E35+E37+E39</f>
        <v>0</v>
      </c>
      <c r="F41" s="67">
        <f t="shared" si="0"/>
        <v>0</v>
      </c>
      <c r="G41" s="67">
        <f t="shared" si="0"/>
        <v>0</v>
      </c>
      <c r="H41" s="67">
        <f t="shared" ref="H41:L41" si="1">H11+H25+H27+H29+H31+H33+H35+H37+H39</f>
        <v>0</v>
      </c>
      <c r="I41" s="67">
        <f t="shared" si="1"/>
        <v>0</v>
      </c>
      <c r="J41" s="67">
        <f t="shared" si="1"/>
        <v>0</v>
      </c>
      <c r="K41" s="67">
        <f t="shared" si="1"/>
        <v>0</v>
      </c>
      <c r="L41" s="67">
        <f t="shared" si="1"/>
        <v>0</v>
      </c>
      <c r="M41" s="205"/>
    </row>
    <row r="42" spans="1:13" s="63" customFormat="1" ht="17.25" thickBot="1">
      <c r="A42" s="351"/>
      <c r="B42" s="352"/>
      <c r="C42" s="71"/>
      <c r="D42" s="68"/>
      <c r="E42" s="64"/>
      <c r="F42" s="64"/>
      <c r="G42" s="64"/>
      <c r="H42" s="64"/>
      <c r="I42" s="64"/>
      <c r="J42" s="64"/>
      <c r="K42" s="64"/>
      <c r="L42" s="64"/>
      <c r="M42" s="205"/>
    </row>
    <row r="43" spans="1:13" s="62" customFormat="1">
      <c r="A43" s="345" t="s">
        <v>180</v>
      </c>
      <c r="B43" s="346"/>
      <c r="C43" s="72"/>
      <c r="D43" s="69">
        <f>D41</f>
        <v>0</v>
      </c>
      <c r="E43" s="65">
        <f>E41+D43</f>
        <v>0</v>
      </c>
      <c r="F43" s="65">
        <f t="shared" ref="F43:H43" si="2">F41+E43</f>
        <v>0</v>
      </c>
      <c r="G43" s="65">
        <f t="shared" si="2"/>
        <v>0</v>
      </c>
      <c r="H43" s="65">
        <f t="shared" si="2"/>
        <v>0</v>
      </c>
      <c r="I43" s="65">
        <f t="shared" ref="I43" si="3">I41+H43</f>
        <v>0</v>
      </c>
      <c r="J43" s="65">
        <f t="shared" ref="J43" si="4">J41+I43</f>
        <v>0</v>
      </c>
      <c r="K43" s="65">
        <f t="shared" ref="K43" si="5">K41+J43</f>
        <v>0</v>
      </c>
      <c r="L43" s="65">
        <f t="shared" ref="L43" si="6">L41+K43</f>
        <v>0</v>
      </c>
      <c r="M43" s="205"/>
    </row>
    <row r="44" spans="1:13" s="61" customFormat="1">
      <c r="A44" s="347"/>
      <c r="B44" s="348"/>
      <c r="C44" s="280"/>
      <c r="D44" s="281"/>
      <c r="E44" s="282"/>
      <c r="F44" s="282"/>
      <c r="G44" s="282"/>
      <c r="H44" s="282"/>
      <c r="I44" s="282"/>
      <c r="J44" s="282"/>
      <c r="K44" s="282"/>
      <c r="L44" s="282"/>
    </row>
    <row r="45" spans="1:13" s="61" customFormat="1">
      <c r="A45" s="188"/>
      <c r="B45" s="188"/>
      <c r="C45" s="189"/>
      <c r="D45" s="190"/>
      <c r="E45" s="190"/>
      <c r="F45" s="190"/>
      <c r="G45" s="190"/>
      <c r="H45" s="190"/>
      <c r="I45" s="190"/>
      <c r="J45" s="190"/>
      <c r="K45" s="190"/>
      <c r="L45" s="190"/>
    </row>
    <row r="47" spans="1:13">
      <c r="D47" s="220"/>
      <c r="E47" s="220"/>
      <c r="F47" s="220"/>
      <c r="G47" s="220"/>
      <c r="H47" s="220"/>
      <c r="I47" s="220"/>
      <c r="J47" s="220"/>
      <c r="K47" s="220"/>
      <c r="L47" s="220"/>
    </row>
  </sheetData>
  <autoFilter ref="A9:L44">
    <filterColumn colId="4" hiddenButton="1" showButton="0"/>
    <filterColumn colId="5" hiddenButton="1" showButton="0"/>
    <filterColumn colId="6" hiddenButton="1" showButton="0"/>
    <filterColumn colId="7" hiddenButton="1" showButton="0"/>
    <filterColumn colId="8" hiddenButton="1" showButton="0"/>
  </autoFilter>
  <mergeCells count="45">
    <mergeCell ref="A43:B44"/>
    <mergeCell ref="D9:L9"/>
    <mergeCell ref="A41:B42"/>
    <mergeCell ref="A35:A36"/>
    <mergeCell ref="B35:B36"/>
    <mergeCell ref="A37:A38"/>
    <mergeCell ref="B37:B38"/>
    <mergeCell ref="A39:A40"/>
    <mergeCell ref="B39:B40"/>
    <mergeCell ref="A29:A30"/>
    <mergeCell ref="B29:B30"/>
    <mergeCell ref="A31:A32"/>
    <mergeCell ref="B31:B32"/>
    <mergeCell ref="A33:A34"/>
    <mergeCell ref="B33:B34"/>
    <mergeCell ref="A11:A12"/>
    <mergeCell ref="A25:A26"/>
    <mergeCell ref="B25:B26"/>
    <mergeCell ref="A27:A28"/>
    <mergeCell ref="B27:B28"/>
    <mergeCell ref="A13:A14"/>
    <mergeCell ref="A15:A16"/>
    <mergeCell ref="A17:A18"/>
    <mergeCell ref="A19:A20"/>
    <mergeCell ref="B13:B14"/>
    <mergeCell ref="B15:B16"/>
    <mergeCell ref="B17:B18"/>
    <mergeCell ref="B19:B20"/>
    <mergeCell ref="A23:A24"/>
    <mergeCell ref="A21:A22"/>
    <mergeCell ref="B21:B22"/>
    <mergeCell ref="B23:B24"/>
    <mergeCell ref="A1:L1"/>
    <mergeCell ref="A2:L2"/>
    <mergeCell ref="B11:B12"/>
    <mergeCell ref="B3:I3"/>
    <mergeCell ref="A7:L7"/>
    <mergeCell ref="A9:A10"/>
    <mergeCell ref="B9:B10"/>
    <mergeCell ref="C9:C10"/>
    <mergeCell ref="B4:I4"/>
    <mergeCell ref="J4:K4"/>
    <mergeCell ref="B5:I5"/>
    <mergeCell ref="J5:K5"/>
    <mergeCell ref="J3:K3"/>
  </mergeCells>
  <conditionalFormatting sqref="D25:E40 I25:L27 D11:E12 I11:L12 I29:L40 J28:L28">
    <cfRule type="cellIs" dxfId="31" priority="55" operator="notEqual">
      <formula>0</formula>
    </cfRule>
  </conditionalFormatting>
  <conditionalFormatting sqref="F25:G40">
    <cfRule type="cellIs" dxfId="30" priority="53" operator="notEqual">
      <formula>0</formula>
    </cfRule>
  </conditionalFormatting>
  <conditionalFormatting sqref="D13:E17 I13:L17">
    <cfRule type="cellIs" dxfId="29" priority="44" operator="notEqual">
      <formula>0</formula>
    </cfRule>
  </conditionalFormatting>
  <conditionalFormatting sqref="F15:G17">
    <cfRule type="cellIs" dxfId="28" priority="43" operator="notEqual">
      <formula>0</formula>
    </cfRule>
  </conditionalFormatting>
  <conditionalFormatting sqref="I19:L20 D19:E20">
    <cfRule type="cellIs" dxfId="27" priority="42" operator="notEqual">
      <formula>0</formula>
    </cfRule>
  </conditionalFormatting>
  <conditionalFormatting sqref="F19:G20">
    <cfRule type="cellIs" dxfId="26" priority="41" operator="notEqual">
      <formula>0</formula>
    </cfRule>
  </conditionalFormatting>
  <conditionalFormatting sqref="I21:L22 D21:E22">
    <cfRule type="cellIs" dxfId="25" priority="32" operator="notEqual">
      <formula>0</formula>
    </cfRule>
  </conditionalFormatting>
  <conditionalFormatting sqref="F21:G22">
    <cfRule type="cellIs" dxfId="24" priority="31" operator="notEqual">
      <formula>0</formula>
    </cfRule>
  </conditionalFormatting>
  <conditionalFormatting sqref="I23:L24 D23:E24">
    <cfRule type="cellIs" dxfId="23" priority="30" operator="notEqual">
      <formula>0</formula>
    </cfRule>
  </conditionalFormatting>
  <conditionalFormatting sqref="F23:G24">
    <cfRule type="cellIs" dxfId="22" priority="29" operator="notEqual">
      <formula>0</formula>
    </cfRule>
  </conditionalFormatting>
  <conditionalFormatting sqref="F11">
    <cfRule type="cellIs" dxfId="21" priority="16" operator="notEqual">
      <formula>0</formula>
    </cfRule>
  </conditionalFormatting>
  <conditionalFormatting sqref="F13">
    <cfRule type="cellIs" dxfId="20" priority="24" operator="notEqual">
      <formula>0</formula>
    </cfRule>
  </conditionalFormatting>
  <conditionalFormatting sqref="G13">
    <cfRule type="cellIs" dxfId="19" priority="23" operator="notEqual">
      <formula>0</formula>
    </cfRule>
  </conditionalFormatting>
  <conditionalFormatting sqref="F12">
    <cfRule type="cellIs" dxfId="18" priority="22" operator="notEqual">
      <formula>0</formula>
    </cfRule>
  </conditionalFormatting>
  <conditionalFormatting sqref="G12">
    <cfRule type="cellIs" dxfId="17" priority="21" operator="notEqual">
      <formula>0</formula>
    </cfRule>
  </conditionalFormatting>
  <conditionalFormatting sqref="F14">
    <cfRule type="cellIs" dxfId="16" priority="18" operator="notEqual">
      <formula>0</formula>
    </cfRule>
  </conditionalFormatting>
  <conditionalFormatting sqref="G14">
    <cfRule type="cellIs" dxfId="15" priority="17" operator="notEqual">
      <formula>0</formula>
    </cfRule>
  </conditionalFormatting>
  <conditionalFormatting sqref="G11">
    <cfRule type="cellIs" dxfId="14" priority="15" operator="notEqual">
      <formula>0</formula>
    </cfRule>
  </conditionalFormatting>
  <conditionalFormatting sqref="H25:H27 H29:H40">
    <cfRule type="cellIs" dxfId="13" priority="14" operator="notEqual">
      <formula>0</formula>
    </cfRule>
  </conditionalFormatting>
  <conditionalFormatting sqref="H15:H17">
    <cfRule type="cellIs" dxfId="12" priority="13" operator="notEqual">
      <formula>0</formula>
    </cfRule>
  </conditionalFormatting>
  <conditionalFormatting sqref="H19:H20">
    <cfRule type="cellIs" dxfId="11" priority="12" operator="notEqual">
      <formula>0</formula>
    </cfRule>
  </conditionalFormatting>
  <conditionalFormatting sqref="H21:H22">
    <cfRule type="cellIs" dxfId="10" priority="11" operator="notEqual">
      <formula>0</formula>
    </cfRule>
  </conditionalFormatting>
  <conditionalFormatting sqref="H23:H24">
    <cfRule type="cellIs" dxfId="9" priority="10" operator="notEqual">
      <formula>0</formula>
    </cfRule>
  </conditionalFormatting>
  <conditionalFormatting sqref="H13">
    <cfRule type="cellIs" dxfId="8" priority="9" operator="notEqual">
      <formula>0</formula>
    </cfRule>
  </conditionalFormatting>
  <conditionalFormatting sqref="H12">
    <cfRule type="cellIs" dxfId="7" priority="8" operator="notEqual">
      <formula>0</formula>
    </cfRule>
  </conditionalFormatting>
  <conditionalFormatting sqref="H14">
    <cfRule type="cellIs" dxfId="6" priority="7" operator="notEqual">
      <formula>0</formula>
    </cfRule>
  </conditionalFormatting>
  <conditionalFormatting sqref="H11">
    <cfRule type="cellIs" dxfId="5" priority="6" operator="notEqual">
      <formula>0</formula>
    </cfRule>
  </conditionalFormatting>
  <conditionalFormatting sqref="H28">
    <cfRule type="cellIs" dxfId="4" priority="5" operator="notEqual">
      <formula>0</formula>
    </cfRule>
  </conditionalFormatting>
  <conditionalFormatting sqref="I28">
    <cfRule type="cellIs" dxfId="3" priority="4" operator="notEqual">
      <formula>0</formula>
    </cfRule>
  </conditionalFormatting>
  <conditionalFormatting sqref="D18:E18 I18:L18">
    <cfRule type="cellIs" dxfId="2" priority="3" operator="notEqual">
      <formula>0</formula>
    </cfRule>
  </conditionalFormatting>
  <conditionalFormatting sqref="F18:G18">
    <cfRule type="cellIs" dxfId="1" priority="2" operator="notEqual">
      <formula>0</formula>
    </cfRule>
  </conditionalFormatting>
  <conditionalFormatting sqref="H18">
    <cfRule type="cellIs" dxfId="0" priority="1" operator="notEqual">
      <formula>0</formula>
    </cfRule>
  </conditionalFormatting>
  <pageMargins left="0.51181102362204722" right="0.51181102362204722" top="1.02" bottom="0.59055118110236227" header="0.31496062992125984" footer="0.31496062992125984"/>
  <pageSetup paperSize="9" scale="57" orientation="landscape" r:id="rId1"/>
  <headerFooter>
    <oddHeader>&amp;C&amp;G&amp;R&amp;G</oddHeader>
    <oddFooter xml:space="preserve">&amp;C&amp;8PROGRAMAS DE DESENVOLVIMENTO DO TURISMO – PRODETUR / PE
Av. Professor Andrade Bezerra, s/nº – Salgadinho – Olinda  / PE - CEP: 53.110-110
Fone: (81) 3182.8317 PABX: (81) 3182.8300 –   Fax: (81) 3182.8312 
CNPJ (MF) nº 04.755.171/0001-81 
</oddFooter>
  </headerFooter>
  <legacyDrawingHF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PSP</vt:lpstr>
      <vt:lpstr>CRONOGRAMA</vt:lpstr>
      <vt:lpstr>Plan2</vt:lpstr>
      <vt:lpstr>Plan3</vt:lpstr>
      <vt:lpstr>CRONOGRAMA!Area_de_impressao</vt:lpstr>
      <vt:lpstr>PSP!Area_de_impressao</vt:lpstr>
      <vt:lpstr>CRONOGRAMA!Titulos_de_impressao</vt:lpstr>
      <vt:lpstr>PSP!Titulos_de_impressao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Freire</dc:creator>
  <cp:lastModifiedBy>Leide</cp:lastModifiedBy>
  <cp:lastPrinted>2015-09-21T13:22:51Z</cp:lastPrinted>
  <dcterms:created xsi:type="dcterms:W3CDTF">2014-04-09T13:27:02Z</dcterms:created>
  <dcterms:modified xsi:type="dcterms:W3CDTF">2015-09-21T13:22:54Z</dcterms:modified>
</cp:coreProperties>
</file>